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<sst xmlns="http://schemas.openxmlformats.org/spreadsheetml/2006/main" count="766" uniqueCount="400">
  <si>
    <t>87° Campionato italiano 2022</t>
  </si>
  <si>
    <t>Circolo Velico Ravennate</t>
  </si>
  <si>
    <t>Pos</t>
  </si>
  <si>
    <t>Cognome</t>
  </si>
  <si>
    <t>Nome</t>
  </si>
  <si>
    <t>Circolo</t>
  </si>
  <si>
    <t>Flotta</t>
  </si>
  <si>
    <t>Nascita</t>
  </si>
  <si>
    <t>Età</t>
  </si>
  <si>
    <t>Cat.</t>
  </si>
  <si>
    <t>Velico</t>
  </si>
  <si>
    <t>Nome scafo</t>
  </si>
  <si>
    <t>tipologia</t>
  </si>
  <si>
    <t>Cantiere</t>
  </si>
  <si>
    <t>anno</t>
  </si>
  <si>
    <t>Pt</t>
  </si>
  <si>
    <t>P1</t>
  </si>
  <si>
    <t>P2</t>
  </si>
  <si>
    <t>P3</t>
  </si>
  <si>
    <t>P4</t>
  </si>
  <si>
    <t>P5</t>
  </si>
  <si>
    <t>P6</t>
  </si>
  <si>
    <t>avg</t>
  </si>
  <si>
    <t>tot</t>
  </si>
  <si>
    <t>sc</t>
  </si>
  <si>
    <t>calc</t>
  </si>
  <si>
    <t>Boem</t>
  </si>
  <si>
    <t>Giovanni</t>
  </si>
  <si>
    <t>Diporto Velico Veneziano</t>
  </si>
  <si>
    <t>adriatico centrale</t>
  </si>
  <si>
    <t>ITA2216</t>
  </si>
  <si>
    <t>Esseemmelle</t>
  </si>
  <si>
    <t>vtr</t>
  </si>
  <si>
    <t>Lillia</t>
  </si>
  <si>
    <t>D'Albertas</t>
  </si>
  <si>
    <t>Vittorio</t>
  </si>
  <si>
    <t>CV S.Margherita Ligure</t>
  </si>
  <si>
    <t>liguria</t>
  </si>
  <si>
    <t>ITA2400</t>
  </si>
  <si>
    <t>Behemot</t>
  </si>
  <si>
    <t>vtr/legno</t>
  </si>
  <si>
    <t>Jannello</t>
  </si>
  <si>
    <t>Filippo</t>
  </si>
  <si>
    <t>ITA2016</t>
  </si>
  <si>
    <t>Cicci</t>
  </si>
  <si>
    <t>S.Orsola</t>
  </si>
  <si>
    <t>dns</t>
  </si>
  <si>
    <t>Patrone</t>
  </si>
  <si>
    <t>Alberto</t>
  </si>
  <si>
    <t>CV Cogoleto</t>
  </si>
  <si>
    <t>ITA2026</t>
  </si>
  <si>
    <t>Damina</t>
  </si>
  <si>
    <t>legno classico</t>
  </si>
  <si>
    <t>Colombo</t>
  </si>
  <si>
    <t>Negri</t>
  </si>
  <si>
    <t>Enrico</t>
  </si>
  <si>
    <t>AV Alto Verbano</t>
  </si>
  <si>
    <t>laghi prealpini (maggiore)</t>
  </si>
  <si>
    <t>ITA2372</t>
  </si>
  <si>
    <t>Io sono vaginatariano</t>
  </si>
  <si>
    <t>Zerbin</t>
  </si>
  <si>
    <t>Andrea</t>
  </si>
  <si>
    <t>SV Oscar Cosulich</t>
  </si>
  <si>
    <t>adriatico alto</t>
  </si>
  <si>
    <t>ITA2168</t>
  </si>
  <si>
    <t>Filo da torcere</t>
  </si>
  <si>
    <t>Macchiarella</t>
  </si>
  <si>
    <t>CC Roggero di Lauria</t>
  </si>
  <si>
    <t>sicilia</t>
  </si>
  <si>
    <t>ITA2386</t>
  </si>
  <si>
    <t>Bolle blu</t>
  </si>
  <si>
    <t>Puccini</t>
  </si>
  <si>
    <t>Giorgio</t>
  </si>
  <si>
    <t>Soc CV La Spezia</t>
  </si>
  <si>
    <t>ITA2402</t>
  </si>
  <si>
    <t>Hal 9000</t>
  </si>
  <si>
    <t>ocs</t>
  </si>
  <si>
    <t>Majer</t>
  </si>
  <si>
    <t>Sebastiano</t>
  </si>
  <si>
    <t>Compagnia della Vela</t>
  </si>
  <si>
    <t>ITA2086</t>
  </si>
  <si>
    <t>TT Tartaglia</t>
  </si>
  <si>
    <t>Semenzato</t>
  </si>
  <si>
    <t>Flavio</t>
  </si>
  <si>
    <t>Canottieri Mestre</t>
  </si>
  <si>
    <t>ITA2367</t>
  </si>
  <si>
    <t>Francesca amore mio</t>
  </si>
  <si>
    <t>Gazzolo</t>
  </si>
  <si>
    <t>Luigi</t>
  </si>
  <si>
    <t>LNI S.Margherita Ligure</t>
  </si>
  <si>
    <t>ITA2004</t>
  </si>
  <si>
    <t>Pallino</t>
  </si>
  <si>
    <t>Puzzarini</t>
  </si>
  <si>
    <t>Stefano</t>
  </si>
  <si>
    <t>CN Amici vela Cervia</t>
  </si>
  <si>
    <t>adriatico basso</t>
  </si>
  <si>
    <t>ITA2258</t>
  </si>
  <si>
    <t>Maxima</t>
  </si>
  <si>
    <t>Fidanza</t>
  </si>
  <si>
    <t>Francesco</t>
  </si>
  <si>
    <t>ITA2164</t>
  </si>
  <si>
    <t>Hing Joe</t>
  </si>
  <si>
    <t>Ravetta</t>
  </si>
  <si>
    <t>Carlo</t>
  </si>
  <si>
    <t>CV Mestre</t>
  </si>
  <si>
    <t>ITA2397</t>
  </si>
  <si>
    <t>Sudomagodo</t>
  </si>
  <si>
    <t>Bonaldo Z</t>
  </si>
  <si>
    <t>Bottiglione</t>
  </si>
  <si>
    <t>Cosimo</t>
  </si>
  <si>
    <t>SVMM Taranto</t>
  </si>
  <si>
    <t>adriatico (meridionale)</t>
  </si>
  <si>
    <t>ITA2100</t>
  </si>
  <si>
    <t>Giove</t>
  </si>
  <si>
    <t>Dubbini</t>
  </si>
  <si>
    <t>Marco</t>
  </si>
  <si>
    <t>CV Toscolano Maderno</t>
  </si>
  <si>
    <t>laghi prealpini (garda)</t>
  </si>
  <si>
    <t>ITA2360</t>
  </si>
  <si>
    <t>Gapigno</t>
  </si>
  <si>
    <t>Pierobon</t>
  </si>
  <si>
    <t>Fausto</t>
  </si>
  <si>
    <t>ITA2365</t>
  </si>
  <si>
    <t>Lucy</t>
  </si>
  <si>
    <t>Moschioni</t>
  </si>
  <si>
    <t>Vito</t>
  </si>
  <si>
    <t>YC Como</t>
  </si>
  <si>
    <t>laghi prealpini (como)</t>
  </si>
  <si>
    <t>ITA2401</t>
  </si>
  <si>
    <t>Claudia 3</t>
  </si>
  <si>
    <t>dnf</t>
  </si>
  <si>
    <t>Bianchi</t>
  </si>
  <si>
    <t>CN Cavo</t>
  </si>
  <si>
    <t>alto tirreno</t>
  </si>
  <si>
    <t>ITA2186</t>
  </si>
  <si>
    <t>Giovanna va a vela</t>
  </si>
  <si>
    <t>Nauticalodi</t>
  </si>
  <si>
    <t>De Gaspari</t>
  </si>
  <si>
    <t>Marcello</t>
  </si>
  <si>
    <t xml:space="preserve">LNI Genova </t>
  </si>
  <si>
    <t>ITA2037</t>
  </si>
  <si>
    <t>Gallinella</t>
  </si>
  <si>
    <t>Masserotti</t>
  </si>
  <si>
    <t>Yann</t>
  </si>
  <si>
    <t>CV Tiberino</t>
  </si>
  <si>
    <t>tirreno centro/meridionale</t>
  </si>
  <si>
    <t>ITA2007</t>
  </si>
  <si>
    <t>Greta II</t>
  </si>
  <si>
    <t>Baù</t>
  </si>
  <si>
    <t>Matteo</t>
  </si>
  <si>
    <t>ITA1660</t>
  </si>
  <si>
    <t>Marzia</t>
  </si>
  <si>
    <t>Penagini</t>
  </si>
  <si>
    <t>Vincenzo</t>
  </si>
  <si>
    <t>YC Italiano</t>
  </si>
  <si>
    <t>ITA2150</t>
  </si>
  <si>
    <t>Plotzlich Barabba</t>
  </si>
  <si>
    <t>Bonaldo</t>
  </si>
  <si>
    <t>Cito Filomarino</t>
  </si>
  <si>
    <t>CV Bellano</t>
  </si>
  <si>
    <t>ITA2410</t>
  </si>
  <si>
    <t>Plastic Fantastic</t>
  </si>
  <si>
    <t>Laera</t>
  </si>
  <si>
    <t>LNI Monopoli</t>
  </si>
  <si>
    <t>ITA1374</t>
  </si>
  <si>
    <t>SandoHan VII</t>
  </si>
  <si>
    <t>Pilo Pais</t>
  </si>
  <si>
    <t>Federico</t>
  </si>
  <si>
    <t>ITA2142</t>
  </si>
  <si>
    <t>Blu Amnesia</t>
  </si>
  <si>
    <t>Mendini</t>
  </si>
  <si>
    <t>AV Lido</t>
  </si>
  <si>
    <t>ITA2394</t>
  </si>
  <si>
    <t>Carlito's wave</t>
  </si>
  <si>
    <t>Schiavon</t>
  </si>
  <si>
    <t>Massimo</t>
  </si>
  <si>
    <t>CN Chioggia</t>
  </si>
  <si>
    <t>ITA2392</t>
  </si>
  <si>
    <t>Come minimo</t>
  </si>
  <si>
    <t>Falciola</t>
  </si>
  <si>
    <t>Andra</t>
  </si>
  <si>
    <t>ITA2296</t>
  </si>
  <si>
    <t>Absolutely free</t>
  </si>
  <si>
    <t>Riva</t>
  </si>
  <si>
    <t>La Tegola</t>
  </si>
  <si>
    <t>CV Bari</t>
  </si>
  <si>
    <t>AICD Sempreverde</t>
  </si>
  <si>
    <t>Corbellini</t>
  </si>
  <si>
    <t>Paolo</t>
  </si>
  <si>
    <t>Unione Velica Maccagno</t>
  </si>
  <si>
    <t>ITA2335</t>
  </si>
  <si>
    <t>Rusty Pelican</t>
  </si>
  <si>
    <t>Francesia Berta</t>
  </si>
  <si>
    <t>Furio</t>
  </si>
  <si>
    <t>LNI Genova Sestri Ponente</t>
  </si>
  <si>
    <t>ITA2029</t>
  </si>
  <si>
    <t>Ob One</t>
  </si>
  <si>
    <t>Allodi Variale</t>
  </si>
  <si>
    <t>Gaetano</t>
  </si>
  <si>
    <t>LNI Napoli</t>
  </si>
  <si>
    <t>ITA1990</t>
  </si>
  <si>
    <t>Bonaldinho</t>
  </si>
  <si>
    <t>Balestrieri</t>
  </si>
  <si>
    <t>Maria Elena</t>
  </si>
  <si>
    <t>ITA2324</t>
  </si>
  <si>
    <t>Out of Blue</t>
  </si>
  <si>
    <t>Favaro</t>
  </si>
  <si>
    <t>CN Porto S.Margherita</t>
  </si>
  <si>
    <t>ITA2398</t>
  </si>
  <si>
    <t>Baraonda</t>
  </si>
  <si>
    <t>Robotti</t>
  </si>
  <si>
    <t>Mautizio</t>
  </si>
  <si>
    <t>Vela Club Levanto</t>
  </si>
  <si>
    <t>ITA2357</t>
  </si>
  <si>
    <t>Sciachela</t>
  </si>
  <si>
    <t>Carossia</t>
  </si>
  <si>
    <t>Maurizio</t>
  </si>
  <si>
    <t>ITA2006</t>
  </si>
  <si>
    <t>Ochin de Medulin</t>
  </si>
  <si>
    <t>Strassera</t>
  </si>
  <si>
    <t>CV Mesttre</t>
  </si>
  <si>
    <t>ITA2308</t>
  </si>
  <si>
    <t>Astra</t>
  </si>
  <si>
    <t>ITA2420</t>
  </si>
  <si>
    <t>Rachele</t>
  </si>
  <si>
    <t>Lodigiani</t>
  </si>
  <si>
    <t>Francesca</t>
  </si>
  <si>
    <t>ITA1759</t>
  </si>
  <si>
    <t>Cavallo Indomito</t>
  </si>
  <si>
    <t>Costantino</t>
  </si>
  <si>
    <t>Ambrogio</t>
  </si>
  <si>
    <t>C Canottieri Barion</t>
  </si>
  <si>
    <t>ITA1740</t>
  </si>
  <si>
    <t>Luna di Luglio</t>
  </si>
  <si>
    <t>Pivanti</t>
  </si>
  <si>
    <t>CV Ravennate</t>
  </si>
  <si>
    <t>ITA2159</t>
  </si>
  <si>
    <t>Arianicco</t>
  </si>
  <si>
    <t>Tenderini</t>
  </si>
  <si>
    <t>Pietro</t>
  </si>
  <si>
    <t>ITA2344</t>
  </si>
  <si>
    <t>Gasp</t>
  </si>
  <si>
    <t>Ferrarini</t>
  </si>
  <si>
    <t>LNI La Spezia</t>
  </si>
  <si>
    <t>ITA2176</t>
  </si>
  <si>
    <t>NeHerellina</t>
  </si>
  <si>
    <t>Azzarini</t>
  </si>
  <si>
    <t>Leonello</t>
  </si>
  <si>
    <t>ITA2107</t>
  </si>
  <si>
    <t>The fab four</t>
  </si>
  <si>
    <t>Manzoni</t>
  </si>
  <si>
    <t>Luca</t>
  </si>
  <si>
    <t>ITA2178</t>
  </si>
  <si>
    <t>Rose est l'amour</t>
  </si>
  <si>
    <t>Carmagnani</t>
  </si>
  <si>
    <t>Attilio</t>
  </si>
  <si>
    <t>ITA2345</t>
  </si>
  <si>
    <t>Toulì</t>
  </si>
  <si>
    <t>Sgolacchia</t>
  </si>
  <si>
    <t>Michele</t>
  </si>
  <si>
    <t>CV Cesenatico</t>
  </si>
  <si>
    <t>ITA2348</t>
  </si>
  <si>
    <t>Emme come …</t>
  </si>
  <si>
    <t>Fazio</t>
  </si>
  <si>
    <t>Lorenzo</t>
  </si>
  <si>
    <t>CNAM Alassio</t>
  </si>
  <si>
    <t>ITA2376</t>
  </si>
  <si>
    <t>Pulin</t>
  </si>
  <si>
    <t>Pannarale</t>
  </si>
  <si>
    <t>Giuseppe</t>
  </si>
  <si>
    <t>CUS Bari</t>
  </si>
  <si>
    <t>ITA2156</t>
  </si>
  <si>
    <t>Canarino M</t>
  </si>
  <si>
    <t>ITA2221</t>
  </si>
  <si>
    <t>La Peppa V</t>
  </si>
  <si>
    <t>Armellin</t>
  </si>
  <si>
    <t>Roberto</t>
  </si>
  <si>
    <t>CV Gargnano</t>
  </si>
  <si>
    <t>ITA799</t>
  </si>
  <si>
    <t>Pippo II</t>
  </si>
  <si>
    <t>Patucelli</t>
  </si>
  <si>
    <t>Dalpoz</t>
  </si>
  <si>
    <t>ITA1800</t>
  </si>
  <si>
    <t>Pina Bausch</t>
  </si>
  <si>
    <t>ITA2305</t>
  </si>
  <si>
    <t>Duri i banchi</t>
  </si>
  <si>
    <t>Antoncecchi</t>
  </si>
  <si>
    <t>ITA2390</t>
  </si>
  <si>
    <t>Ostra 4</t>
  </si>
  <si>
    <t xml:space="preserve">Homori </t>
  </si>
  <si>
    <t>Yoichi</t>
  </si>
  <si>
    <t>MITA A-Class Dinghy club</t>
  </si>
  <si>
    <t>estero</t>
  </si>
  <si>
    <t>ITA2387</t>
  </si>
  <si>
    <t>AICD Forever</t>
  </si>
  <si>
    <t>Gamberini</t>
  </si>
  <si>
    <t>Mauro</t>
  </si>
  <si>
    <t>ITA2318</t>
  </si>
  <si>
    <t>Pepe</t>
  </si>
  <si>
    <t>Folloni</t>
  </si>
  <si>
    <t>ITA1984</t>
  </si>
  <si>
    <t>Sveglia</t>
  </si>
  <si>
    <t>Loretano</t>
  </si>
  <si>
    <t>Antonio</t>
  </si>
  <si>
    <t>ITA2015</t>
  </si>
  <si>
    <t>Greta</t>
  </si>
  <si>
    <t>Meriggi</t>
  </si>
  <si>
    <t>Manlio</t>
  </si>
  <si>
    <t>CN Rapallo</t>
  </si>
  <si>
    <t>ITA2050</t>
  </si>
  <si>
    <t>Opus Cactus</t>
  </si>
  <si>
    <t>Parodi</t>
  </si>
  <si>
    <t>LNI Milano</t>
  </si>
  <si>
    <t>ITA2407</t>
  </si>
  <si>
    <t>Penna bianca</t>
  </si>
  <si>
    <t>Leporati</t>
  </si>
  <si>
    <t>ITA2418</t>
  </si>
  <si>
    <t>Helestino</t>
  </si>
  <si>
    <t>De Ascentis</t>
  </si>
  <si>
    <t>Christian</t>
  </si>
  <si>
    <t>ITA2138</t>
  </si>
  <si>
    <t>La Rosina</t>
  </si>
  <si>
    <t>Zagaria</t>
  </si>
  <si>
    <t>Nevio</t>
  </si>
  <si>
    <t>Soc. Triestina Vela</t>
  </si>
  <si>
    <t>ITA1925</t>
  </si>
  <si>
    <t>Ugolina</t>
  </si>
  <si>
    <t>Olivi</t>
  </si>
  <si>
    <t>ITA2264</t>
  </si>
  <si>
    <t>Duri i banchi Casmaran</t>
  </si>
  <si>
    <t>Dal Mas</t>
  </si>
  <si>
    <t>CDV Mestre</t>
  </si>
  <si>
    <t>ITA2405</t>
  </si>
  <si>
    <t>Tinzetta</t>
  </si>
  <si>
    <t>Tirapani</t>
  </si>
  <si>
    <t>ITA943</t>
  </si>
  <si>
    <t>Ariosa</t>
  </si>
  <si>
    <t>Ognio</t>
  </si>
  <si>
    <t>Sanzini</t>
  </si>
  <si>
    <t>ITA1951</t>
  </si>
  <si>
    <t>Maf</t>
  </si>
  <si>
    <t>dnc</t>
  </si>
  <si>
    <t>ret</t>
  </si>
  <si>
    <t>Corsi</t>
  </si>
  <si>
    <t>CN S.Vincenzo</t>
  </si>
  <si>
    <t>ITA1566</t>
  </si>
  <si>
    <t>No Dinghy no Party</t>
  </si>
  <si>
    <t>Cranchi</t>
  </si>
  <si>
    <t>Brusori</t>
  </si>
  <si>
    <t>Viscardo</t>
  </si>
  <si>
    <t>ITA1824</t>
  </si>
  <si>
    <t>La Gazza ladra</t>
  </si>
  <si>
    <t>Daccà</t>
  </si>
  <si>
    <t>CV Sori</t>
  </si>
  <si>
    <t>ITA2075</t>
  </si>
  <si>
    <t>Welcome VII</t>
  </si>
  <si>
    <t>Sada</t>
  </si>
  <si>
    <t>ITA2251</t>
  </si>
  <si>
    <t>Moby Dick's baby</t>
  </si>
  <si>
    <t>Flotte</t>
  </si>
  <si>
    <t>primi 10</t>
  </si>
  <si>
    <t>Liguria</t>
  </si>
  <si>
    <t>Alto Tirreno</t>
  </si>
  <si>
    <t>Tirreno centro/meridionale</t>
  </si>
  <si>
    <t>Sicilia</t>
  </si>
  <si>
    <t>Alto Adriatico</t>
  </si>
  <si>
    <t>Adriatico Centrale</t>
  </si>
  <si>
    <t>Basso Adriatico</t>
  </si>
  <si>
    <t>Laghi prealpini</t>
  </si>
  <si>
    <t>Como</t>
  </si>
  <si>
    <t>Maggiore</t>
  </si>
  <si>
    <t>Garda</t>
  </si>
  <si>
    <t>esteri</t>
  </si>
  <si>
    <t>Tipologia</t>
  </si>
  <si>
    <t>moderno</t>
  </si>
  <si>
    <t>vtr/l</t>
  </si>
  <si>
    <t>classico</t>
  </si>
  <si>
    <t>Cantieri</t>
  </si>
  <si>
    <t>Under 30</t>
  </si>
  <si>
    <t>minimo</t>
  </si>
  <si>
    <t>middle</t>
  </si>
  <si>
    <t>massimo</t>
  </si>
  <si>
    <t>master</t>
  </si>
  <si>
    <t>media</t>
  </si>
  <si>
    <t>supermaster</t>
  </si>
  <si>
    <t>legend</t>
  </si>
  <si>
    <t>Anno di costruzione</t>
  </si>
  <si>
    <t>2020-2022</t>
  </si>
  <si>
    <t>più antico</t>
  </si>
  <si>
    <t>2015-2019</t>
  </si>
  <si>
    <t>più recente</t>
  </si>
  <si>
    <t>2010-2014</t>
  </si>
  <si>
    <t>età media</t>
  </si>
  <si>
    <t>2005-2009</t>
  </si>
  <si>
    <t>2000-2004</t>
  </si>
  <si>
    <t>1990-1999</t>
  </si>
  <si>
    <t>1980-1989</t>
  </si>
  <si>
    <t>1970-1979</t>
  </si>
  <si>
    <t>1960-1969</t>
  </si>
  <si>
    <t>1950-1959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</si>
</sst>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0.00%"/>
  </numFmts>
  <fonts count="20">
    <font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53"/>
      <name val="Arial"/>
      <family val="2"/>
    </font>
    <font>
      <b/>
      <sz val="1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53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3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i/>
      <sz val="10"/>
      <name val="Verdana"/>
      <family val="2"/>
    </font>
    <font>
      <i/>
      <sz val="10"/>
      <color indexed="23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47"/>
      <name val="Arial"/>
      <family val="2"/>
    </font>
    <font>
      <i/>
      <sz val="10"/>
      <color indexed="47"/>
      <name val="Verdana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2" fillId="0" borderId="0" xfId="20" applyFont="1" applyBorder="1" applyAlignment="1">
      <alignment horizontal="center" vertical="center" wrapText="1"/>
      <protection/>
    </xf>
    <xf numFmtId="165" fontId="13" fillId="0" borderId="0" xfId="0" applyNumberFormat="1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20" applyFont="1" applyBorder="1" applyAlignment="1">
      <alignment horizontal="center" vertical="center" wrapText="1"/>
      <protection/>
    </xf>
    <xf numFmtId="164" fontId="19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6" fontId="15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zoomScale="130" zoomScaleNormal="130" workbookViewId="0" topLeftCell="A16">
      <selection activeCell="G16" sqref="F1:G65536"/>
    </sheetView>
  </sheetViews>
  <sheetFormatPr defaultColWidth="12.57421875" defaultRowHeight="12.75"/>
  <cols>
    <col min="1" max="1" width="4.8515625" style="0" customWidth="1"/>
    <col min="2" max="2" width="13.140625" style="0" customWidth="1"/>
    <col min="3" max="3" width="13.00390625" style="0" customWidth="1"/>
    <col min="4" max="4" width="22.28125" style="0" customWidth="1"/>
    <col min="5" max="5" width="21.8515625" style="0" customWidth="1"/>
    <col min="6" max="7" width="0" style="1" hidden="1" customWidth="1"/>
    <col min="8" max="8" width="5.140625" style="1" customWidth="1"/>
    <col min="9" max="9" width="8.28125" style="1" customWidth="1"/>
    <col min="10" max="10" width="20.00390625" style="0" customWidth="1"/>
    <col min="11" max="11" width="12.7109375" style="0" customWidth="1"/>
    <col min="12" max="12" width="9.8515625" style="0" customWidth="1"/>
    <col min="13" max="13" width="6.8515625" style="1" customWidth="1"/>
    <col min="14" max="15" width="4.00390625" style="1" customWidth="1"/>
    <col min="16" max="16" width="0" style="2" hidden="1" customWidth="1"/>
    <col min="17" max="17" width="4.00390625" style="1" customWidth="1"/>
    <col min="18" max="18" width="0" style="2" hidden="1" customWidth="1"/>
    <col min="19" max="19" width="4.00390625" style="1" customWidth="1"/>
    <col min="20" max="20" width="0" style="3" hidden="1" customWidth="1"/>
    <col min="21" max="21" width="4.00390625" style="1" customWidth="1"/>
    <col min="22" max="22" width="0" style="2" hidden="1" customWidth="1"/>
    <col min="23" max="23" width="4.00390625" style="1" customWidth="1"/>
    <col min="24" max="24" width="0" style="2" hidden="1" customWidth="1"/>
    <col min="25" max="25" width="4.00390625" style="1" customWidth="1"/>
    <col min="26" max="26" width="0" style="2" hidden="1" customWidth="1"/>
    <col min="27" max="27" width="4.8515625" style="4" customWidth="1"/>
    <col min="28" max="28" width="4.421875" style="1" customWidth="1"/>
    <col min="29" max="29" width="3.8515625" style="1" customWidth="1"/>
    <col min="30" max="30" width="0" style="0" hidden="1" customWidth="1"/>
    <col min="31" max="16384" width="11.57421875" style="0" customWidth="1"/>
  </cols>
  <sheetData>
    <row r="1" spans="1:29" s="5" customFormat="1" ht="12.75">
      <c r="A1" s="5" t="s">
        <v>0</v>
      </c>
      <c r="F1" s="6"/>
      <c r="G1" s="6"/>
      <c r="H1" s="6"/>
      <c r="I1" s="6"/>
      <c r="M1" s="6"/>
      <c r="N1" s="6"/>
      <c r="O1" s="6"/>
      <c r="P1" s="7"/>
      <c r="Q1" s="6"/>
      <c r="R1" s="7"/>
      <c r="S1" s="6"/>
      <c r="T1" s="8"/>
      <c r="U1" s="6"/>
      <c r="V1" s="7"/>
      <c r="W1" s="6"/>
      <c r="X1" s="7"/>
      <c r="Y1" s="6"/>
      <c r="Z1" s="7"/>
      <c r="AA1" s="9"/>
      <c r="AB1" s="6"/>
      <c r="AC1" s="6"/>
    </row>
    <row r="2" spans="1:29" s="10" customFormat="1" ht="12.75">
      <c r="A2" s="10" t="s">
        <v>1</v>
      </c>
      <c r="F2" s="11"/>
      <c r="G2" s="11"/>
      <c r="H2" s="11"/>
      <c r="I2" s="11"/>
      <c r="M2" s="11"/>
      <c r="N2" s="11"/>
      <c r="O2" s="11"/>
      <c r="P2" s="12"/>
      <c r="Q2" s="11"/>
      <c r="R2" s="12"/>
      <c r="S2" s="11"/>
      <c r="T2" s="13"/>
      <c r="U2" s="11"/>
      <c r="V2" s="12"/>
      <c r="W2" s="11"/>
      <c r="X2" s="12"/>
      <c r="Y2" s="11"/>
      <c r="Z2" s="12"/>
      <c r="AA2" s="14"/>
      <c r="AB2" s="11"/>
      <c r="AC2" s="11"/>
    </row>
    <row r="4" spans="1:30" s="15" customFormat="1" ht="12.7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5" t="s">
        <v>11</v>
      </c>
      <c r="K4" s="15" t="s">
        <v>12</v>
      </c>
      <c r="L4" s="15" t="s">
        <v>13</v>
      </c>
      <c r="M4" s="16" t="s">
        <v>14</v>
      </c>
      <c r="N4" s="16" t="s">
        <v>15</v>
      </c>
      <c r="O4" s="16" t="s">
        <v>16</v>
      </c>
      <c r="P4" s="17" t="s">
        <v>16</v>
      </c>
      <c r="Q4" s="16" t="s">
        <v>17</v>
      </c>
      <c r="R4" s="17" t="s">
        <v>17</v>
      </c>
      <c r="S4" s="16" t="s">
        <v>18</v>
      </c>
      <c r="T4" s="18" t="s">
        <v>18</v>
      </c>
      <c r="U4" s="16" t="s">
        <v>19</v>
      </c>
      <c r="V4" s="17" t="s">
        <v>19</v>
      </c>
      <c r="W4" s="16" t="s">
        <v>20</v>
      </c>
      <c r="X4" s="17" t="s">
        <v>20</v>
      </c>
      <c r="Y4" s="16" t="s">
        <v>21</v>
      </c>
      <c r="Z4" s="17" t="s">
        <v>21</v>
      </c>
      <c r="AA4" s="19" t="s">
        <v>22</v>
      </c>
      <c r="AB4" s="16" t="s">
        <v>23</v>
      </c>
      <c r="AC4" s="16" t="s">
        <v>24</v>
      </c>
      <c r="AD4" s="15" t="s">
        <v>25</v>
      </c>
    </row>
    <row r="5" spans="1:30" ht="12.75">
      <c r="A5">
        <v>1</v>
      </c>
      <c r="B5" t="s">
        <v>26</v>
      </c>
      <c r="C5" t="s">
        <v>27</v>
      </c>
      <c r="D5" t="s">
        <v>28</v>
      </c>
      <c r="E5" t="s">
        <v>29</v>
      </c>
      <c r="F5" s="1">
        <v>1969</v>
      </c>
      <c r="G5" s="1">
        <f>2022-F5</f>
        <v>53</v>
      </c>
      <c r="H5" s="20">
        <f>IF(F5&lt;1943,"L",IF(F5&lt;1948,"SM",IF(F5&lt;1958,"M",IF(F5&gt;1993,"U",""))))</f>
      </c>
      <c r="I5" s="1" t="s">
        <v>30</v>
      </c>
      <c r="J5" t="s">
        <v>31</v>
      </c>
      <c r="K5" t="s">
        <v>32</v>
      </c>
      <c r="L5" t="s">
        <v>33</v>
      </c>
      <c r="M5" s="1">
        <v>2008</v>
      </c>
      <c r="N5" s="1">
        <v>17</v>
      </c>
      <c r="O5" s="1">
        <v>2</v>
      </c>
      <c r="P5" s="2">
        <v>2</v>
      </c>
      <c r="Q5" s="1">
        <v>5</v>
      </c>
      <c r="R5" s="2">
        <v>5</v>
      </c>
      <c r="S5" s="1">
        <v>14</v>
      </c>
      <c r="T5" s="3">
        <v>14</v>
      </c>
      <c r="U5" s="1">
        <v>7</v>
      </c>
      <c r="V5" s="2">
        <v>7</v>
      </c>
      <c r="W5" s="1">
        <v>2</v>
      </c>
      <c r="X5" s="2">
        <v>2</v>
      </c>
      <c r="Y5" s="1">
        <v>1</v>
      </c>
      <c r="Z5" s="2">
        <v>1</v>
      </c>
      <c r="AA5" s="21">
        <f>AVERAGE(P5,R5,T5,V5,X5,Z5)</f>
        <v>5.166666666666667</v>
      </c>
      <c r="AB5" s="22">
        <f>SUM(P5,R5,T5,V5,X5,Z5)</f>
        <v>31</v>
      </c>
      <c r="AC5" s="1">
        <f>MAX(P5,R5,T5,V5,X5,Z5)</f>
        <v>14</v>
      </c>
      <c r="AD5" s="23">
        <f>AB5-AC5</f>
        <v>17</v>
      </c>
    </row>
    <row r="6" spans="1:30" ht="12.75">
      <c r="A6">
        <v>2</v>
      </c>
      <c r="B6" t="s">
        <v>34</v>
      </c>
      <c r="C6" t="s">
        <v>35</v>
      </c>
      <c r="D6" t="s">
        <v>36</v>
      </c>
      <c r="E6" t="s">
        <v>37</v>
      </c>
      <c r="F6" s="1">
        <v>1973</v>
      </c>
      <c r="G6" s="1">
        <f>2022-F6</f>
        <v>49</v>
      </c>
      <c r="H6" s="20">
        <f>IF(F6&lt;1943,"L",IF(F6&lt;1948,"SM",IF(F6&lt;1958,"M",IF(F6&gt;1993,"U",""))))</f>
      </c>
      <c r="I6" s="1" t="s">
        <v>38</v>
      </c>
      <c r="J6" t="s">
        <v>39</v>
      </c>
      <c r="K6" t="s">
        <v>40</v>
      </c>
      <c r="L6" t="s">
        <v>33</v>
      </c>
      <c r="M6" s="1">
        <v>2019</v>
      </c>
      <c r="N6" s="1">
        <v>18</v>
      </c>
      <c r="O6" s="1">
        <v>3</v>
      </c>
      <c r="P6" s="2">
        <v>3</v>
      </c>
      <c r="Q6" s="1">
        <v>18</v>
      </c>
      <c r="R6" s="2">
        <v>18</v>
      </c>
      <c r="S6" s="1">
        <v>1</v>
      </c>
      <c r="T6" s="3">
        <v>1</v>
      </c>
      <c r="U6" s="1">
        <v>3</v>
      </c>
      <c r="V6" s="2">
        <v>3</v>
      </c>
      <c r="W6" s="1">
        <v>9</v>
      </c>
      <c r="X6" s="2">
        <v>9</v>
      </c>
      <c r="Y6" s="1">
        <v>2</v>
      </c>
      <c r="Z6" s="2">
        <v>2</v>
      </c>
      <c r="AA6" s="21">
        <f>AVERAGE(P6,R6,T6,V6,X6,Z6)</f>
        <v>6</v>
      </c>
      <c r="AB6" s="22">
        <f>SUM(P6,R6,T6,V6,X6,Z6)</f>
        <v>36</v>
      </c>
      <c r="AC6" s="1">
        <f>MAX(P6,R6,T6,V6,X6,Z6)</f>
        <v>18</v>
      </c>
      <c r="AD6" s="23">
        <f>AB6-AC6</f>
        <v>18</v>
      </c>
    </row>
    <row r="7" spans="1:30" ht="12.75">
      <c r="A7">
        <v>3</v>
      </c>
      <c r="B7" t="s">
        <v>41</v>
      </c>
      <c r="C7" t="s">
        <v>42</v>
      </c>
      <c r="D7" t="s">
        <v>36</v>
      </c>
      <c r="E7" t="s">
        <v>37</v>
      </c>
      <c r="F7" s="1">
        <v>1952</v>
      </c>
      <c r="G7" s="1">
        <f>2022-F7</f>
        <v>70</v>
      </c>
      <c r="H7" s="20" t="str">
        <f>IF(F7&lt;1943,"L",IF(F7&lt;1948,"SM",IF(F7&lt;1958,"M",IF(F7&gt;1993,"U",""))))</f>
        <v>M</v>
      </c>
      <c r="I7" s="1" t="s">
        <v>43</v>
      </c>
      <c r="J7" t="s">
        <v>44</v>
      </c>
      <c r="K7" t="s">
        <v>40</v>
      </c>
      <c r="L7" t="s">
        <v>45</v>
      </c>
      <c r="M7" s="1">
        <v>2000</v>
      </c>
      <c r="N7" s="1">
        <v>29</v>
      </c>
      <c r="O7" s="1">
        <v>5</v>
      </c>
      <c r="P7" s="2">
        <v>5</v>
      </c>
      <c r="Q7" s="1">
        <v>4</v>
      </c>
      <c r="R7" s="2">
        <v>4</v>
      </c>
      <c r="S7" s="1">
        <v>3</v>
      </c>
      <c r="T7" s="3">
        <v>3</v>
      </c>
      <c r="U7" s="1">
        <v>9</v>
      </c>
      <c r="V7" s="2">
        <v>9</v>
      </c>
      <c r="W7" s="1">
        <v>8</v>
      </c>
      <c r="X7" s="2">
        <v>8</v>
      </c>
      <c r="Y7" s="1" t="s">
        <v>46</v>
      </c>
      <c r="Z7" s="2">
        <v>73</v>
      </c>
      <c r="AA7" s="21">
        <f>AVERAGE(P7,R7,T7,V7,X7,Z7)</f>
        <v>17</v>
      </c>
      <c r="AB7" s="22">
        <f>SUM(P7,R7,T7,V7,X7,Z7)</f>
        <v>102</v>
      </c>
      <c r="AC7" s="1">
        <f>MAX(P7,R7,T7,V7,X7,Z7)</f>
        <v>73</v>
      </c>
      <c r="AD7" s="23">
        <f>AB7-AC7</f>
        <v>29</v>
      </c>
    </row>
    <row r="8" spans="1:30" ht="12.75">
      <c r="A8">
        <v>4</v>
      </c>
      <c r="B8" t="s">
        <v>47</v>
      </c>
      <c r="C8" t="s">
        <v>48</v>
      </c>
      <c r="D8" t="s">
        <v>49</v>
      </c>
      <c r="E8" t="s">
        <v>37</v>
      </c>
      <c r="F8" s="1">
        <v>1957</v>
      </c>
      <c r="G8" s="1">
        <f>2022-F8</f>
        <v>65</v>
      </c>
      <c r="H8" s="20" t="str">
        <f>IF(F8&lt;1943,"L",IF(F8&lt;1948,"SM",IF(F8&lt;1958,"M",IF(F8&gt;1993,"U",""))))</f>
        <v>M</v>
      </c>
      <c r="I8" s="1" t="s">
        <v>50</v>
      </c>
      <c r="J8" t="s">
        <v>51</v>
      </c>
      <c r="K8" t="s">
        <v>52</v>
      </c>
      <c r="L8" t="s">
        <v>53</v>
      </c>
      <c r="M8" s="1">
        <v>2000</v>
      </c>
      <c r="N8" s="1">
        <v>51</v>
      </c>
      <c r="O8" s="1">
        <v>18</v>
      </c>
      <c r="P8" s="2">
        <v>18</v>
      </c>
      <c r="Q8" s="1">
        <v>47</v>
      </c>
      <c r="R8" s="2">
        <v>47</v>
      </c>
      <c r="S8" s="1">
        <v>16</v>
      </c>
      <c r="T8" s="3">
        <v>16</v>
      </c>
      <c r="U8" s="1">
        <v>11</v>
      </c>
      <c r="V8" s="2">
        <v>11</v>
      </c>
      <c r="W8" s="1">
        <v>1</v>
      </c>
      <c r="X8" s="2">
        <v>1</v>
      </c>
      <c r="Y8" s="1">
        <v>5</v>
      </c>
      <c r="Z8" s="2">
        <v>5</v>
      </c>
      <c r="AA8" s="21">
        <f>AVERAGE(P8,R8,T8,V8,X8,Z8)</f>
        <v>16.333333333333332</v>
      </c>
      <c r="AB8" s="22">
        <f>SUM(P8,R8,T8,V8,X8,Z8)</f>
        <v>98</v>
      </c>
      <c r="AC8" s="1">
        <f>MAX(P8,R8,T8,V8,X8,Z8)</f>
        <v>47</v>
      </c>
      <c r="AD8" s="23">
        <f>AB8-AC8</f>
        <v>51</v>
      </c>
    </row>
    <row r="9" spans="1:30" ht="12.75">
      <c r="A9">
        <v>5</v>
      </c>
      <c r="B9" t="s">
        <v>54</v>
      </c>
      <c r="C9" t="s">
        <v>55</v>
      </c>
      <c r="D9" t="s">
        <v>56</v>
      </c>
      <c r="E9" t="s">
        <v>57</v>
      </c>
      <c r="F9" s="1">
        <v>1963</v>
      </c>
      <c r="G9" s="1">
        <f>2022-F9</f>
        <v>59</v>
      </c>
      <c r="H9" s="20">
        <f>IF(F9&lt;1943,"L",IF(F9&lt;1948,"SM",IF(F9&lt;1958,"M",IF(F9&gt;1993,"U",""))))</f>
      </c>
      <c r="I9" s="1" t="s">
        <v>58</v>
      </c>
      <c r="J9" t="s">
        <v>59</v>
      </c>
      <c r="K9" t="s">
        <v>32</v>
      </c>
      <c r="L9" t="s">
        <v>33</v>
      </c>
      <c r="M9" s="1">
        <v>2017</v>
      </c>
      <c r="N9" s="1">
        <v>53</v>
      </c>
      <c r="O9" s="1">
        <v>8</v>
      </c>
      <c r="P9" s="2">
        <v>8</v>
      </c>
      <c r="Q9" s="1">
        <v>12</v>
      </c>
      <c r="R9" s="2">
        <v>12</v>
      </c>
      <c r="S9" s="1">
        <v>23</v>
      </c>
      <c r="T9" s="3">
        <v>23</v>
      </c>
      <c r="U9" s="1">
        <v>6</v>
      </c>
      <c r="V9" s="2">
        <v>6</v>
      </c>
      <c r="W9" s="1">
        <v>4</v>
      </c>
      <c r="X9" s="2">
        <v>4</v>
      </c>
      <c r="Y9" s="1">
        <v>22</v>
      </c>
      <c r="Z9" s="2">
        <v>22</v>
      </c>
      <c r="AA9" s="21">
        <f>AVERAGE(P9,R9,T9,V9,X9,Z9)</f>
        <v>12.5</v>
      </c>
      <c r="AB9" s="22">
        <f>SUM(P9,R9,T9,V9,X9,Z9)</f>
        <v>75</v>
      </c>
      <c r="AC9" s="1">
        <f>MAX(P9,R9,T9,V9,X9,Z9)</f>
        <v>23</v>
      </c>
      <c r="AD9" s="23">
        <f>AB9-AC9</f>
        <v>52</v>
      </c>
    </row>
    <row r="10" spans="1:30" ht="12.75">
      <c r="A10">
        <v>6</v>
      </c>
      <c r="B10" t="s">
        <v>60</v>
      </c>
      <c r="C10" t="s">
        <v>61</v>
      </c>
      <c r="D10" t="s">
        <v>62</v>
      </c>
      <c r="E10" t="s">
        <v>63</v>
      </c>
      <c r="F10" s="1">
        <v>1968</v>
      </c>
      <c r="G10" s="1">
        <f>2022-F10</f>
        <v>54</v>
      </c>
      <c r="H10" s="20">
        <f>IF(F10&lt;1943,"L",IF(F10&lt;1948,"SM",IF(F10&lt;1958,"M",IF(F10&gt;1993,"U",""))))</f>
      </c>
      <c r="I10" s="1" t="s">
        <v>64</v>
      </c>
      <c r="J10" t="s">
        <v>65</v>
      </c>
      <c r="K10" t="s">
        <v>32</v>
      </c>
      <c r="L10" t="s">
        <v>33</v>
      </c>
      <c r="M10" s="1">
        <v>2006</v>
      </c>
      <c r="N10" s="1">
        <v>56</v>
      </c>
      <c r="O10" s="1">
        <v>4</v>
      </c>
      <c r="P10" s="2">
        <v>4</v>
      </c>
      <c r="Q10" s="1">
        <v>20</v>
      </c>
      <c r="R10" s="2">
        <v>20</v>
      </c>
      <c r="S10" s="1">
        <v>6</v>
      </c>
      <c r="T10" s="3">
        <v>6</v>
      </c>
      <c r="U10" s="1">
        <v>25</v>
      </c>
      <c r="V10" s="2">
        <v>25</v>
      </c>
      <c r="W10" s="1">
        <v>15</v>
      </c>
      <c r="X10" s="2">
        <v>15</v>
      </c>
      <c r="Y10" s="1">
        <v>11</v>
      </c>
      <c r="Z10" s="2">
        <v>11</v>
      </c>
      <c r="AA10" s="21">
        <f>AVERAGE(P10,R10,T10,V10,X10,Z10)</f>
        <v>13.5</v>
      </c>
      <c r="AB10" s="22">
        <f>SUM(P10,R10,T10,V10,X10,Z10)</f>
        <v>81</v>
      </c>
      <c r="AC10" s="1">
        <f>MAX(P10,R10,T10,V10,X10,Z10)</f>
        <v>25</v>
      </c>
      <c r="AD10" s="23">
        <f>AB10-AC10</f>
        <v>56</v>
      </c>
    </row>
    <row r="11" spans="1:30" ht="12.75">
      <c r="A11">
        <v>7</v>
      </c>
      <c r="B11" t="s">
        <v>66</v>
      </c>
      <c r="C11" t="s">
        <v>35</v>
      </c>
      <c r="D11" t="s">
        <v>67</v>
      </c>
      <c r="E11" t="s">
        <v>68</v>
      </c>
      <c r="F11" s="1">
        <v>1968</v>
      </c>
      <c r="G11" s="1">
        <f>2022-F11</f>
        <v>54</v>
      </c>
      <c r="H11" s="20">
        <f>IF(F11&lt;1943,"L",IF(F11&lt;1948,"SM",IF(F11&lt;1958,"M",IF(F11&gt;1993,"U",""))))</f>
      </c>
      <c r="I11" s="1" t="s">
        <v>69</v>
      </c>
      <c r="J11" t="s">
        <v>70</v>
      </c>
      <c r="K11" t="s">
        <v>32</v>
      </c>
      <c r="L11" t="s">
        <v>33</v>
      </c>
      <c r="M11" s="1">
        <v>2018</v>
      </c>
      <c r="N11" s="1">
        <v>58</v>
      </c>
      <c r="O11" s="1">
        <v>31</v>
      </c>
      <c r="P11" s="2">
        <v>31</v>
      </c>
      <c r="Q11" s="1">
        <v>15</v>
      </c>
      <c r="R11" s="2">
        <v>15</v>
      </c>
      <c r="S11" s="1">
        <v>29</v>
      </c>
      <c r="T11" s="3">
        <v>29</v>
      </c>
      <c r="U11" s="1">
        <v>4</v>
      </c>
      <c r="V11" s="2">
        <v>4</v>
      </c>
      <c r="W11" s="1">
        <v>7</v>
      </c>
      <c r="X11" s="2">
        <v>7</v>
      </c>
      <c r="Y11" s="1">
        <v>3</v>
      </c>
      <c r="Z11" s="2">
        <v>3</v>
      </c>
      <c r="AA11" s="21">
        <f>AVERAGE(P11,R11,T11,V11,X11,Z11)</f>
        <v>14.833333333333334</v>
      </c>
      <c r="AB11" s="22">
        <f>SUM(P11,R11,T11,V11,X11,Z11)</f>
        <v>89</v>
      </c>
      <c r="AC11" s="1">
        <f>MAX(P11,R11,T11,V11,X11,Z11)</f>
        <v>31</v>
      </c>
      <c r="AD11" s="23">
        <f>AB11-AC11</f>
        <v>58</v>
      </c>
    </row>
    <row r="12" spans="1:30" ht="12.75">
      <c r="A12">
        <v>8</v>
      </c>
      <c r="B12" t="s">
        <v>71</v>
      </c>
      <c r="C12" t="s">
        <v>72</v>
      </c>
      <c r="D12" t="s">
        <v>73</v>
      </c>
      <c r="E12" t="s">
        <v>37</v>
      </c>
      <c r="F12" s="1">
        <v>1958</v>
      </c>
      <c r="G12" s="1">
        <f>2022-F12</f>
        <v>64</v>
      </c>
      <c r="H12" s="20">
        <f>IF(F12&lt;1943,"L",IF(F12&lt;1948,"SM",IF(F12&lt;1958,"M",IF(F12&gt;1993,"U",""))))</f>
      </c>
      <c r="I12" s="1" t="s">
        <v>74</v>
      </c>
      <c r="J12" t="s">
        <v>75</v>
      </c>
      <c r="K12" t="s">
        <v>32</v>
      </c>
      <c r="L12" t="s">
        <v>33</v>
      </c>
      <c r="M12" s="1">
        <v>2020</v>
      </c>
      <c r="N12" s="1">
        <v>58</v>
      </c>
      <c r="O12" s="1">
        <v>14</v>
      </c>
      <c r="P12" s="2">
        <v>14</v>
      </c>
      <c r="Q12" s="1">
        <v>11</v>
      </c>
      <c r="R12" s="2">
        <v>11</v>
      </c>
      <c r="S12" s="1">
        <v>4</v>
      </c>
      <c r="T12" s="3">
        <v>4</v>
      </c>
      <c r="U12" s="1" t="s">
        <v>76</v>
      </c>
      <c r="V12" s="2">
        <v>73</v>
      </c>
      <c r="W12" s="1">
        <v>22</v>
      </c>
      <c r="X12" s="2">
        <v>22</v>
      </c>
      <c r="Y12" s="1">
        <v>7</v>
      </c>
      <c r="Z12" s="2">
        <v>7</v>
      </c>
      <c r="AA12" s="21">
        <f>AVERAGE(P12,R12,T12,V12,X12,Z12)</f>
        <v>21.833333333333332</v>
      </c>
      <c r="AB12" s="22">
        <f>SUM(P12,R12,T12,V12,X12,Z12)</f>
        <v>131</v>
      </c>
      <c r="AC12" s="1">
        <f>MAX(P12,R12,T12,V12,X12,Z12)</f>
        <v>73</v>
      </c>
      <c r="AD12" s="23">
        <f>AB12-AC12</f>
        <v>58</v>
      </c>
    </row>
    <row r="13" spans="1:30" ht="12.75">
      <c r="A13">
        <v>9</v>
      </c>
      <c r="B13" t="s">
        <v>77</v>
      </c>
      <c r="C13" t="s">
        <v>78</v>
      </c>
      <c r="D13" t="s">
        <v>79</v>
      </c>
      <c r="E13" t="s">
        <v>29</v>
      </c>
      <c r="F13" s="24">
        <v>2003</v>
      </c>
      <c r="G13" s="1">
        <f>2022-F13</f>
        <v>19</v>
      </c>
      <c r="H13" s="20" t="str">
        <f>IF(F13&lt;1943,"L",IF(F13&lt;1948,"SM",IF(F13&lt;1958,"M",IF(F13&gt;1993,"U",""))))</f>
        <v>U</v>
      </c>
      <c r="I13" s="1" t="s">
        <v>80</v>
      </c>
      <c r="J13" t="s">
        <v>81</v>
      </c>
      <c r="K13" t="s">
        <v>40</v>
      </c>
      <c r="L13" t="s">
        <v>45</v>
      </c>
      <c r="M13" s="1">
        <v>2003</v>
      </c>
      <c r="N13" s="1">
        <v>62</v>
      </c>
      <c r="O13" s="1">
        <v>15</v>
      </c>
      <c r="P13" s="2">
        <v>15</v>
      </c>
      <c r="Q13" s="1">
        <v>30</v>
      </c>
      <c r="R13" s="2">
        <v>30</v>
      </c>
      <c r="S13" s="1">
        <v>19</v>
      </c>
      <c r="T13" s="3">
        <v>19</v>
      </c>
      <c r="U13" s="1">
        <v>2</v>
      </c>
      <c r="V13" s="2">
        <v>2</v>
      </c>
      <c r="W13" s="1">
        <v>13</v>
      </c>
      <c r="X13" s="2">
        <v>13</v>
      </c>
      <c r="Y13" s="1">
        <v>13</v>
      </c>
      <c r="Z13" s="2">
        <v>13</v>
      </c>
      <c r="AA13" s="21">
        <f>AVERAGE(P13,R13,T13,V13,X13,Z13)</f>
        <v>15.333333333333334</v>
      </c>
      <c r="AB13" s="22">
        <f>SUM(P13,R13,T13,V13,X13,Z13)</f>
        <v>92</v>
      </c>
      <c r="AC13" s="1">
        <f>MAX(P13,R13,T13,V13,X13,Z13)</f>
        <v>30</v>
      </c>
      <c r="AD13" s="23">
        <f>AB13-AC13</f>
        <v>62</v>
      </c>
    </row>
    <row r="14" spans="1:30" ht="12.75">
      <c r="A14">
        <v>10</v>
      </c>
      <c r="B14" t="s">
        <v>82</v>
      </c>
      <c r="C14" t="s">
        <v>83</v>
      </c>
      <c r="D14" t="s">
        <v>84</v>
      </c>
      <c r="E14" t="s">
        <v>29</v>
      </c>
      <c r="F14" s="1">
        <v>1953</v>
      </c>
      <c r="G14" s="1">
        <f>2022-F14</f>
        <v>69</v>
      </c>
      <c r="H14" s="20" t="str">
        <f>IF(F14&lt;1943,"L",IF(F14&lt;1948,"SM",IF(F14&lt;1958,"M",IF(F14&gt;1993,"U",""))))</f>
        <v>M</v>
      </c>
      <c r="I14" s="1" t="s">
        <v>85</v>
      </c>
      <c r="J14" t="s">
        <v>86</v>
      </c>
      <c r="K14" t="s">
        <v>32</v>
      </c>
      <c r="L14" t="s">
        <v>33</v>
      </c>
      <c r="M14" s="1">
        <v>2017</v>
      </c>
      <c r="N14" s="1">
        <v>66</v>
      </c>
      <c r="O14" s="1">
        <v>1</v>
      </c>
      <c r="P14" s="2">
        <v>1</v>
      </c>
      <c r="Q14" s="1">
        <v>8</v>
      </c>
      <c r="R14" s="2">
        <v>8</v>
      </c>
      <c r="S14" s="1">
        <v>40</v>
      </c>
      <c r="T14" s="3">
        <v>40</v>
      </c>
      <c r="U14" s="1">
        <v>8</v>
      </c>
      <c r="V14" s="2">
        <v>8</v>
      </c>
      <c r="W14" s="1">
        <v>12</v>
      </c>
      <c r="X14" s="2">
        <v>12</v>
      </c>
      <c r="Y14" s="1">
        <v>37</v>
      </c>
      <c r="Z14" s="2">
        <v>37</v>
      </c>
      <c r="AA14" s="21">
        <f>AVERAGE(P14,R14,T14,V14,X14,Z14)</f>
        <v>17.666666666666668</v>
      </c>
      <c r="AB14" s="22">
        <f>SUM(P14,R14,T14,V14,X14,Z14)</f>
        <v>106</v>
      </c>
      <c r="AC14" s="1">
        <f>MAX(P14,R14,T14,V14,X14,Z14)</f>
        <v>40</v>
      </c>
      <c r="AD14" s="23">
        <f>AB14-AC14</f>
        <v>66</v>
      </c>
    </row>
    <row r="15" spans="1:30" ht="12.75">
      <c r="A15">
        <v>11</v>
      </c>
      <c r="B15" t="s">
        <v>87</v>
      </c>
      <c r="C15" t="s">
        <v>88</v>
      </c>
      <c r="D15" t="s">
        <v>89</v>
      </c>
      <c r="E15" t="s">
        <v>37</v>
      </c>
      <c r="F15" s="1">
        <v>1951</v>
      </c>
      <c r="G15" s="1">
        <f>2022-F15</f>
        <v>71</v>
      </c>
      <c r="H15" s="20" t="str">
        <f>IF(F15&lt;1943,"L",IF(F15&lt;1948,"SM",IF(F15&lt;1958,"M",IF(F15&gt;1993,"U",""))))</f>
        <v>M</v>
      </c>
      <c r="I15" s="1" t="s">
        <v>90</v>
      </c>
      <c r="J15" t="s">
        <v>91</v>
      </c>
      <c r="K15" t="s">
        <v>40</v>
      </c>
      <c r="L15" t="s">
        <v>45</v>
      </c>
      <c r="M15" s="1">
        <v>2000</v>
      </c>
      <c r="N15" s="1">
        <v>69</v>
      </c>
      <c r="O15" s="1">
        <v>38</v>
      </c>
      <c r="P15" s="2">
        <v>38</v>
      </c>
      <c r="Q15" s="1">
        <v>3</v>
      </c>
      <c r="R15" s="2">
        <v>3</v>
      </c>
      <c r="S15" s="1">
        <v>8</v>
      </c>
      <c r="T15" s="3">
        <v>8</v>
      </c>
      <c r="U15" s="1">
        <v>28</v>
      </c>
      <c r="V15" s="2">
        <v>28</v>
      </c>
      <c r="W15" s="1">
        <v>6</v>
      </c>
      <c r="X15" s="2">
        <v>6</v>
      </c>
      <c r="Y15" s="1">
        <v>23</v>
      </c>
      <c r="Z15" s="2">
        <v>23</v>
      </c>
      <c r="AA15" s="21">
        <f>AVERAGE(P15,R15,T15,V15,X15,Z15)</f>
        <v>17.666666666666668</v>
      </c>
      <c r="AB15" s="22">
        <f>SUM(P15,R15,T15,V15,X15,Z15)</f>
        <v>106</v>
      </c>
      <c r="AC15" s="1">
        <f>MAX(P15,R15,T15,V15,X15,Z15)</f>
        <v>38</v>
      </c>
      <c r="AD15" s="23">
        <f>AB15-AC15</f>
        <v>68</v>
      </c>
    </row>
    <row r="16" spans="1:30" ht="12.75">
      <c r="A16">
        <v>12</v>
      </c>
      <c r="B16" t="s">
        <v>92</v>
      </c>
      <c r="C16" t="s">
        <v>93</v>
      </c>
      <c r="D16" t="s">
        <v>94</v>
      </c>
      <c r="E16" t="s">
        <v>95</v>
      </c>
      <c r="F16" s="1">
        <v>1975</v>
      </c>
      <c r="G16" s="1">
        <f>2022-F16</f>
        <v>47</v>
      </c>
      <c r="H16" s="20">
        <f>IF(F16&lt;1943,"L",IF(F16&lt;1948,"SM",IF(F16&lt;1958,"M",IF(F16&gt;1993,"U",""))))</f>
      </c>
      <c r="I16" s="1" t="s">
        <v>96</v>
      </c>
      <c r="J16" t="s">
        <v>97</v>
      </c>
      <c r="K16" t="s">
        <v>52</v>
      </c>
      <c r="L16" t="s">
        <v>53</v>
      </c>
      <c r="M16" s="1">
        <v>2010</v>
      </c>
      <c r="N16" s="1">
        <v>70</v>
      </c>
      <c r="O16" s="1">
        <v>12</v>
      </c>
      <c r="P16" s="2">
        <v>12</v>
      </c>
      <c r="Q16" s="1">
        <v>32</v>
      </c>
      <c r="R16" s="2">
        <v>32</v>
      </c>
      <c r="S16" s="1">
        <v>36</v>
      </c>
      <c r="T16" s="3">
        <v>36</v>
      </c>
      <c r="U16" s="1">
        <v>5</v>
      </c>
      <c r="V16" s="2">
        <v>5</v>
      </c>
      <c r="W16" s="1">
        <v>17</v>
      </c>
      <c r="X16" s="2">
        <v>17</v>
      </c>
      <c r="Y16" s="1">
        <v>4</v>
      </c>
      <c r="Z16" s="2">
        <v>4</v>
      </c>
      <c r="AA16" s="21">
        <f>AVERAGE(P16,R16,T16,V16,X16,Z16)</f>
        <v>17.666666666666668</v>
      </c>
      <c r="AB16" s="22">
        <f>SUM(P16,R16,T16,V16,X16,Z16)</f>
        <v>106</v>
      </c>
      <c r="AC16" s="1">
        <f>MAX(P16,R16,T16,V16,X16,Z16)</f>
        <v>36</v>
      </c>
      <c r="AD16" s="23">
        <f>AB16-AC16</f>
        <v>70</v>
      </c>
    </row>
    <row r="17" spans="1:30" ht="12.75">
      <c r="A17">
        <v>13</v>
      </c>
      <c r="B17" t="s">
        <v>98</v>
      </c>
      <c r="C17" t="s">
        <v>99</v>
      </c>
      <c r="D17" t="s">
        <v>84</v>
      </c>
      <c r="E17" t="s">
        <v>29</v>
      </c>
      <c r="F17" s="1">
        <v>1957</v>
      </c>
      <c r="G17" s="1">
        <f>2022-F17</f>
        <v>65</v>
      </c>
      <c r="H17" s="20" t="str">
        <f>IF(F17&lt;1943,"L",IF(F17&lt;1948,"SM",IF(F17&lt;1958,"M",IF(F17&gt;1993,"U",""))))</f>
        <v>M</v>
      </c>
      <c r="I17" s="1" t="s">
        <v>100</v>
      </c>
      <c r="J17" t="s">
        <v>101</v>
      </c>
      <c r="K17" t="s">
        <v>32</v>
      </c>
      <c r="L17" t="s">
        <v>33</v>
      </c>
      <c r="M17" s="1">
        <v>2006</v>
      </c>
      <c r="N17" s="1">
        <v>70</v>
      </c>
      <c r="O17" s="1">
        <v>48</v>
      </c>
      <c r="P17" s="2">
        <v>48</v>
      </c>
      <c r="Q17" s="1">
        <v>6</v>
      </c>
      <c r="R17" s="2">
        <v>6</v>
      </c>
      <c r="S17" s="1">
        <v>32</v>
      </c>
      <c r="T17" s="3">
        <v>32</v>
      </c>
      <c r="U17" s="1">
        <v>17</v>
      </c>
      <c r="V17" s="2">
        <v>17</v>
      </c>
      <c r="W17" s="1">
        <v>5</v>
      </c>
      <c r="X17" s="2">
        <v>5</v>
      </c>
      <c r="Y17" s="1">
        <v>10</v>
      </c>
      <c r="Z17" s="2">
        <v>10</v>
      </c>
      <c r="AA17" s="21">
        <f>AVERAGE(P17,R17,T17,V17,X17,Z17)</f>
        <v>19.666666666666668</v>
      </c>
      <c r="AB17" s="22">
        <f>SUM(P17,R17,T17,V17,X17,Z17)</f>
        <v>118</v>
      </c>
      <c r="AC17" s="1">
        <f>MAX(P17,R17,T17,V17,X17,Z17)</f>
        <v>48</v>
      </c>
      <c r="AD17" s="23">
        <f>AB17-AC17</f>
        <v>70</v>
      </c>
    </row>
    <row r="18" spans="1:30" ht="12.75">
      <c r="A18">
        <v>14</v>
      </c>
      <c r="B18" t="s">
        <v>102</v>
      </c>
      <c r="C18" t="s">
        <v>103</v>
      </c>
      <c r="D18" t="s">
        <v>104</v>
      </c>
      <c r="E18" t="s">
        <v>29</v>
      </c>
      <c r="F18" s="1">
        <v>1961</v>
      </c>
      <c r="G18" s="1">
        <f>2022-F18</f>
        <v>61</v>
      </c>
      <c r="H18" s="20">
        <f>IF(F18&lt;1943,"L",IF(F18&lt;1948,"SM",IF(F18&lt;1958,"M",IF(F18&gt;1993,"U",""))))</f>
      </c>
      <c r="I18" s="1" t="s">
        <v>105</v>
      </c>
      <c r="J18" t="s">
        <v>106</v>
      </c>
      <c r="K18" t="s">
        <v>32</v>
      </c>
      <c r="L18" t="s">
        <v>107</v>
      </c>
      <c r="M18" s="1">
        <v>2020</v>
      </c>
      <c r="N18" s="1">
        <v>73</v>
      </c>
      <c r="O18" s="1">
        <v>8</v>
      </c>
      <c r="P18" s="2">
        <v>8</v>
      </c>
      <c r="Q18" s="1">
        <v>1</v>
      </c>
      <c r="R18" s="2">
        <v>1</v>
      </c>
      <c r="S18" s="1">
        <v>11</v>
      </c>
      <c r="T18" s="3">
        <v>11</v>
      </c>
      <c r="U18" s="1" t="s">
        <v>76</v>
      </c>
      <c r="V18" s="2">
        <v>73</v>
      </c>
      <c r="W18" s="1">
        <v>28</v>
      </c>
      <c r="X18" s="2">
        <v>28</v>
      </c>
      <c r="Y18" s="1">
        <v>25</v>
      </c>
      <c r="Z18" s="2">
        <v>25</v>
      </c>
      <c r="AA18" s="21">
        <f>AVERAGE(P18,R18,T18,V18,X18,Z18)</f>
        <v>24.333333333333332</v>
      </c>
      <c r="AB18" s="22">
        <f>SUM(P18,R18,T18,V18,X18,Z18)</f>
        <v>146</v>
      </c>
      <c r="AC18" s="1">
        <f>MAX(P18,R18,T18,V18,X18,Z18)</f>
        <v>73</v>
      </c>
      <c r="AD18" s="23">
        <f>AB18-AC18</f>
        <v>73</v>
      </c>
    </row>
    <row r="19" spans="1:30" ht="12.75">
      <c r="A19">
        <v>15</v>
      </c>
      <c r="B19" t="s">
        <v>108</v>
      </c>
      <c r="C19" t="s">
        <v>109</v>
      </c>
      <c r="D19" t="s">
        <v>110</v>
      </c>
      <c r="E19" t="s">
        <v>111</v>
      </c>
      <c r="F19" s="25">
        <v>1956</v>
      </c>
      <c r="G19" s="25">
        <f>2022-F19</f>
        <v>66</v>
      </c>
      <c r="H19" s="20" t="str">
        <f>IF(F19&lt;1943,"L",IF(F19&lt;1948,"SM",IF(F19&lt;1958,"M",IF(F19&gt;1993,"U",""))))</f>
        <v>M</v>
      </c>
      <c r="I19" s="1" t="s">
        <v>112</v>
      </c>
      <c r="J19" t="s">
        <v>113</v>
      </c>
      <c r="K19" t="s">
        <v>32</v>
      </c>
      <c r="L19" t="s">
        <v>33</v>
      </c>
      <c r="M19" s="1">
        <v>2003</v>
      </c>
      <c r="N19" s="1">
        <v>74</v>
      </c>
      <c r="O19" s="1">
        <v>16</v>
      </c>
      <c r="P19" s="2">
        <v>16</v>
      </c>
      <c r="Q19" s="1">
        <v>10</v>
      </c>
      <c r="R19" s="2">
        <v>10</v>
      </c>
      <c r="S19" s="1">
        <v>2</v>
      </c>
      <c r="T19" s="3">
        <v>2</v>
      </c>
      <c r="U19" s="1">
        <v>27</v>
      </c>
      <c r="V19" s="2">
        <v>27</v>
      </c>
      <c r="W19" s="1">
        <v>29</v>
      </c>
      <c r="X19" s="2">
        <v>29</v>
      </c>
      <c r="Y19" s="1">
        <v>19</v>
      </c>
      <c r="Z19" s="2">
        <v>19</v>
      </c>
      <c r="AA19" s="21">
        <f>AVERAGE(P19,R19,T19,V19,X19,Z19)</f>
        <v>17.166666666666668</v>
      </c>
      <c r="AB19" s="22">
        <f>SUM(P19,R19,T19,V19,X19,Z19)</f>
        <v>103</v>
      </c>
      <c r="AC19" s="1">
        <f>MAX(P19,R19,T19,V19,X19,Z19)</f>
        <v>29</v>
      </c>
      <c r="AD19" s="23">
        <f>AB19-AC19</f>
        <v>74</v>
      </c>
    </row>
    <row r="20" spans="1:30" ht="12.75">
      <c r="A20">
        <v>16</v>
      </c>
      <c r="B20" t="s">
        <v>114</v>
      </c>
      <c r="C20" t="s">
        <v>115</v>
      </c>
      <c r="D20" t="s">
        <v>116</v>
      </c>
      <c r="E20" t="s">
        <v>117</v>
      </c>
      <c r="F20" s="1">
        <v>1958</v>
      </c>
      <c r="G20" s="1">
        <f>2022-F20</f>
        <v>64</v>
      </c>
      <c r="H20" s="20">
        <f>IF(F20&lt;1943,"L",IF(F20&lt;1948,"SM",IF(F20&lt;1958,"M",IF(F20&gt;1993,"U",""))))</f>
      </c>
      <c r="I20" s="1" t="s">
        <v>118</v>
      </c>
      <c r="J20" t="s">
        <v>119</v>
      </c>
      <c r="K20" t="s">
        <v>32</v>
      </c>
      <c r="L20" t="s">
        <v>33</v>
      </c>
      <c r="M20" s="1">
        <v>2016</v>
      </c>
      <c r="N20" s="1">
        <v>80</v>
      </c>
      <c r="O20" s="1">
        <v>45</v>
      </c>
      <c r="P20" s="2">
        <v>45</v>
      </c>
      <c r="Q20" s="1">
        <v>26</v>
      </c>
      <c r="R20" s="2">
        <v>26</v>
      </c>
      <c r="S20" s="1">
        <v>8</v>
      </c>
      <c r="T20" s="3">
        <v>8</v>
      </c>
      <c r="U20" s="1">
        <v>23</v>
      </c>
      <c r="V20" s="2">
        <v>23</v>
      </c>
      <c r="W20" s="1">
        <v>11</v>
      </c>
      <c r="X20" s="2">
        <v>11</v>
      </c>
      <c r="Y20" s="1">
        <v>12</v>
      </c>
      <c r="Z20" s="2">
        <v>12</v>
      </c>
      <c r="AA20" s="21">
        <f>AVERAGE(P20,R20,T20,V20,X20,Z20)</f>
        <v>20.833333333333332</v>
      </c>
      <c r="AB20" s="22">
        <f>SUM(P20,R20,T20,V20,X20,Z20)</f>
        <v>125</v>
      </c>
      <c r="AC20" s="1">
        <f>MAX(P20,R20,T20,V20,X20,Z20)</f>
        <v>45</v>
      </c>
      <c r="AD20" s="23">
        <f>AB20-AC20</f>
        <v>80</v>
      </c>
    </row>
    <row r="21" spans="1:30" ht="12.75">
      <c r="A21">
        <v>17</v>
      </c>
      <c r="B21" t="s">
        <v>120</v>
      </c>
      <c r="C21" t="s">
        <v>121</v>
      </c>
      <c r="D21" t="s">
        <v>62</v>
      </c>
      <c r="E21" t="s">
        <v>63</v>
      </c>
      <c r="F21" s="1">
        <v>1955</v>
      </c>
      <c r="G21" s="1">
        <f>2022-F21</f>
        <v>67</v>
      </c>
      <c r="H21" s="20" t="str">
        <f>IF(F21&lt;1943,"L",IF(F21&lt;1948,"SM",IF(F21&lt;1958,"M",IF(F21&gt;1993,"U",""))))</f>
        <v>M</v>
      </c>
      <c r="I21" s="1" t="s">
        <v>122</v>
      </c>
      <c r="J21" t="s">
        <v>123</v>
      </c>
      <c r="K21" t="s">
        <v>40</v>
      </c>
      <c r="L21" t="s">
        <v>107</v>
      </c>
      <c r="M21" s="1">
        <v>2017</v>
      </c>
      <c r="N21" s="1">
        <v>86</v>
      </c>
      <c r="O21" s="1">
        <v>11</v>
      </c>
      <c r="P21" s="2">
        <v>11</v>
      </c>
      <c r="Q21" s="1">
        <v>25</v>
      </c>
      <c r="R21" s="2">
        <v>25</v>
      </c>
      <c r="S21" s="1">
        <v>12</v>
      </c>
      <c r="T21" s="3">
        <v>12</v>
      </c>
      <c r="U21" s="1">
        <v>21</v>
      </c>
      <c r="V21" s="2">
        <v>21</v>
      </c>
      <c r="W21" s="1">
        <v>26</v>
      </c>
      <c r="X21" s="2">
        <v>26</v>
      </c>
      <c r="Y21" s="1">
        <v>17</v>
      </c>
      <c r="Z21" s="2">
        <v>17</v>
      </c>
      <c r="AA21" s="21">
        <f>AVERAGE(P21,R21,T21,V21,X21,Z21)</f>
        <v>18.666666666666668</v>
      </c>
      <c r="AB21" s="22">
        <f>SUM(P21,R21,T21,V21,X21,Z21)</f>
        <v>112</v>
      </c>
      <c r="AC21" s="1">
        <f>MAX(P21,R21,T21,V21,X21,Z21)</f>
        <v>26</v>
      </c>
      <c r="AD21" s="23">
        <f>AB21-AC21</f>
        <v>86</v>
      </c>
    </row>
    <row r="22" spans="1:30" ht="12.75">
      <c r="A22">
        <v>18</v>
      </c>
      <c r="B22" t="s">
        <v>124</v>
      </c>
      <c r="C22" t="s">
        <v>125</v>
      </c>
      <c r="D22" t="s">
        <v>126</v>
      </c>
      <c r="E22" t="s">
        <v>127</v>
      </c>
      <c r="F22" s="1">
        <v>1966</v>
      </c>
      <c r="G22" s="1">
        <f>2022-F22</f>
        <v>56</v>
      </c>
      <c r="H22" s="20">
        <f>IF(F22&lt;1943,"L",IF(F22&lt;1948,"SM",IF(F22&lt;1958,"M",IF(F22&gt;1993,"U",""))))</f>
      </c>
      <c r="I22" s="1" t="s">
        <v>128</v>
      </c>
      <c r="J22" t="s">
        <v>129</v>
      </c>
      <c r="K22" t="s">
        <v>32</v>
      </c>
      <c r="L22" t="s">
        <v>33</v>
      </c>
      <c r="M22" s="1">
        <v>2020</v>
      </c>
      <c r="N22" s="1">
        <v>87</v>
      </c>
      <c r="O22" s="1">
        <v>21</v>
      </c>
      <c r="P22" s="2">
        <v>21</v>
      </c>
      <c r="Q22" s="1" t="s">
        <v>130</v>
      </c>
      <c r="R22" s="2">
        <v>73</v>
      </c>
      <c r="S22" s="1">
        <v>24</v>
      </c>
      <c r="T22" s="3">
        <v>24</v>
      </c>
      <c r="U22" s="1">
        <v>15</v>
      </c>
      <c r="V22" s="2">
        <v>15</v>
      </c>
      <c r="W22" s="1">
        <v>8</v>
      </c>
      <c r="X22" s="2">
        <v>8</v>
      </c>
      <c r="Y22" s="1">
        <v>9</v>
      </c>
      <c r="Z22" s="2">
        <v>9</v>
      </c>
      <c r="AA22" s="21">
        <f>AVERAGE(P22,R22,T22,V22,X22,Z22)</f>
        <v>25</v>
      </c>
      <c r="AB22" s="22">
        <f>SUM(P22,R22,T22,V22,X22,Z22)</f>
        <v>150</v>
      </c>
      <c r="AC22" s="1">
        <f>MAX(P22,R22,T22,V22,X22,Z22)</f>
        <v>73</v>
      </c>
      <c r="AD22" s="23">
        <f>AB22-AC22</f>
        <v>77</v>
      </c>
    </row>
    <row r="23" spans="1:30" ht="12.75">
      <c r="A23">
        <v>19</v>
      </c>
      <c r="B23" t="s">
        <v>131</v>
      </c>
      <c r="C23" t="s">
        <v>61</v>
      </c>
      <c r="D23" t="s">
        <v>132</v>
      </c>
      <c r="E23" t="s">
        <v>133</v>
      </c>
      <c r="F23" s="1">
        <v>1965</v>
      </c>
      <c r="G23" s="1">
        <f>2022-F23</f>
        <v>57</v>
      </c>
      <c r="H23" s="20">
        <f>IF(F23&lt;1943,"L",IF(F23&lt;1948,"SM",IF(F23&lt;1958,"M",IF(F23&gt;1993,"U",""))))</f>
      </c>
      <c r="I23" s="1" t="s">
        <v>134</v>
      </c>
      <c r="J23" t="s">
        <v>135</v>
      </c>
      <c r="K23" t="s">
        <v>40</v>
      </c>
      <c r="L23" t="s">
        <v>136</v>
      </c>
      <c r="M23" s="1">
        <v>2007</v>
      </c>
      <c r="N23" s="1">
        <v>89</v>
      </c>
      <c r="O23" s="1">
        <v>6</v>
      </c>
      <c r="P23" s="2">
        <v>6</v>
      </c>
      <c r="Q23" s="1">
        <v>17</v>
      </c>
      <c r="R23" s="2">
        <v>17</v>
      </c>
      <c r="S23" s="1">
        <v>18</v>
      </c>
      <c r="T23" s="3">
        <v>18</v>
      </c>
      <c r="U23" s="1" t="s">
        <v>76</v>
      </c>
      <c r="V23" s="2">
        <v>73</v>
      </c>
      <c r="W23" s="1">
        <v>32</v>
      </c>
      <c r="X23" s="2">
        <v>32</v>
      </c>
      <c r="Y23" s="1">
        <v>16</v>
      </c>
      <c r="Z23" s="2">
        <v>16</v>
      </c>
      <c r="AA23" s="21">
        <f>AVERAGE(P23,R23,T23,V23,X23,Z23)</f>
        <v>27</v>
      </c>
      <c r="AB23" s="22">
        <f>SUM(P23,R23,T23,V23,X23,Z23)</f>
        <v>162</v>
      </c>
      <c r="AC23" s="1">
        <f>MAX(P23,R23,T23,V23,X23,Z23)</f>
        <v>73</v>
      </c>
      <c r="AD23" s="23">
        <f>AB23-AC23</f>
        <v>89</v>
      </c>
    </row>
    <row r="24" spans="1:30" ht="12.75">
      <c r="A24">
        <v>20</v>
      </c>
      <c r="B24" t="s">
        <v>137</v>
      </c>
      <c r="C24" t="s">
        <v>138</v>
      </c>
      <c r="D24" t="s">
        <v>139</v>
      </c>
      <c r="E24" t="s">
        <v>37</v>
      </c>
      <c r="F24" s="1">
        <v>1959</v>
      </c>
      <c r="G24" s="1">
        <f>2022-F24</f>
        <v>63</v>
      </c>
      <c r="H24" s="20">
        <f>IF(F24&lt;1943,"L",IF(F24&lt;1948,"SM",IF(F24&lt;1958,"M",IF(F24&gt;1993,"U",""))))</f>
      </c>
      <c r="I24" s="1" t="s">
        <v>140</v>
      </c>
      <c r="J24" t="s">
        <v>141</v>
      </c>
      <c r="K24" t="s">
        <v>40</v>
      </c>
      <c r="L24" t="s">
        <v>45</v>
      </c>
      <c r="M24" s="1">
        <v>2001</v>
      </c>
      <c r="N24" s="1">
        <v>90</v>
      </c>
      <c r="O24" s="1">
        <v>29</v>
      </c>
      <c r="P24" s="2">
        <v>29</v>
      </c>
      <c r="Q24" s="1">
        <v>28</v>
      </c>
      <c r="R24" s="2">
        <v>28</v>
      </c>
      <c r="S24" s="1">
        <v>5</v>
      </c>
      <c r="T24" s="3">
        <v>5</v>
      </c>
      <c r="U24" s="1">
        <v>18</v>
      </c>
      <c r="V24" s="2">
        <v>18</v>
      </c>
      <c r="W24" s="1">
        <v>24</v>
      </c>
      <c r="X24" s="2">
        <v>24</v>
      </c>
      <c r="Y24" s="1">
        <v>15</v>
      </c>
      <c r="Z24" s="2">
        <v>15</v>
      </c>
      <c r="AA24" s="21">
        <f>AVERAGE(P24,R24,T24,V24,X24,Z24)</f>
        <v>19.833333333333332</v>
      </c>
      <c r="AB24" s="22">
        <f>SUM(P24,R24,T24,V24,X24,Z24)</f>
        <v>119</v>
      </c>
      <c r="AC24" s="1">
        <f>MAX(P24,R24,T24,V24,X24,Z24)</f>
        <v>29</v>
      </c>
      <c r="AD24" s="23">
        <f>AB24-AC24</f>
        <v>90</v>
      </c>
    </row>
    <row r="25" spans="1:30" ht="12.75">
      <c r="A25">
        <v>21</v>
      </c>
      <c r="B25" t="s">
        <v>142</v>
      </c>
      <c r="C25" t="s">
        <v>143</v>
      </c>
      <c r="D25" t="s">
        <v>144</v>
      </c>
      <c r="E25" t="s">
        <v>145</v>
      </c>
      <c r="F25" s="1">
        <v>1970</v>
      </c>
      <c r="G25" s="1">
        <f>2022-F25</f>
        <v>52</v>
      </c>
      <c r="H25" s="20">
        <f>IF(F25&lt;1943,"L",IF(F25&lt;1948,"SM",IF(F25&lt;1958,"M",IF(F25&gt;1993,"U",""))))</f>
      </c>
      <c r="I25" s="1" t="s">
        <v>146</v>
      </c>
      <c r="J25" t="s">
        <v>147</v>
      </c>
      <c r="K25" t="s">
        <v>40</v>
      </c>
      <c r="L25" t="s">
        <v>45</v>
      </c>
      <c r="M25" s="1">
        <v>2000</v>
      </c>
      <c r="N25" s="1">
        <v>92</v>
      </c>
      <c r="O25" s="1">
        <v>43</v>
      </c>
      <c r="P25" s="2">
        <v>43</v>
      </c>
      <c r="Q25" s="1">
        <v>24</v>
      </c>
      <c r="R25" s="2">
        <v>24</v>
      </c>
      <c r="S25" s="1" t="s">
        <v>130</v>
      </c>
      <c r="T25" s="2">
        <v>73</v>
      </c>
      <c r="U25" s="1">
        <v>1</v>
      </c>
      <c r="V25" s="2">
        <v>1</v>
      </c>
      <c r="W25" s="1">
        <v>3</v>
      </c>
      <c r="X25" s="2">
        <v>3</v>
      </c>
      <c r="Y25" s="1">
        <v>21</v>
      </c>
      <c r="Z25" s="2">
        <v>21</v>
      </c>
      <c r="AA25" s="21">
        <f>AVERAGE(P25,R25,T25,V25,X25,Z25)</f>
        <v>27.5</v>
      </c>
      <c r="AB25" s="22">
        <f>SUM(P25,R25,T25,V25,X25,Z25)</f>
        <v>165</v>
      </c>
      <c r="AC25" s="1">
        <f>MAX(P25,R25,T25,V25,X25,Z25)</f>
        <v>73</v>
      </c>
      <c r="AD25" s="23">
        <f>AB25-AC25</f>
        <v>92</v>
      </c>
    </row>
    <row r="26" spans="1:30" ht="12.75">
      <c r="A26">
        <v>22</v>
      </c>
      <c r="B26" t="s">
        <v>148</v>
      </c>
      <c r="C26" t="s">
        <v>149</v>
      </c>
      <c r="D26" t="s">
        <v>139</v>
      </c>
      <c r="E26" t="s">
        <v>37</v>
      </c>
      <c r="F26" s="1">
        <v>1975</v>
      </c>
      <c r="G26" s="1">
        <f>2022-F26</f>
        <v>47</v>
      </c>
      <c r="H26" s="20">
        <f>IF(F26&lt;1943,"L",IF(F26&lt;1948,"SM",IF(F26&lt;1958,"M",IF(F26&gt;1993,"U",""))))</f>
      </c>
      <c r="I26" s="1" t="s">
        <v>150</v>
      </c>
      <c r="J26" t="s">
        <v>151</v>
      </c>
      <c r="K26" t="s">
        <v>40</v>
      </c>
      <c r="L26" t="s">
        <v>47</v>
      </c>
      <c r="M26" s="1">
        <v>1982</v>
      </c>
      <c r="N26" s="1">
        <v>94</v>
      </c>
      <c r="O26" s="1">
        <v>49</v>
      </c>
      <c r="P26" s="2">
        <v>49</v>
      </c>
      <c r="Q26" s="1">
        <v>13</v>
      </c>
      <c r="R26" s="2">
        <v>13</v>
      </c>
      <c r="S26" s="1">
        <v>28</v>
      </c>
      <c r="T26" s="3">
        <v>28</v>
      </c>
      <c r="U26" s="1">
        <v>10</v>
      </c>
      <c r="V26" s="2">
        <v>10</v>
      </c>
      <c r="W26" s="1">
        <v>19</v>
      </c>
      <c r="X26" s="2">
        <v>19</v>
      </c>
      <c r="Y26" s="1">
        <v>24</v>
      </c>
      <c r="Z26" s="2">
        <v>24</v>
      </c>
      <c r="AA26" s="21">
        <f>AVERAGE(P26,R26,T26,V26,X26,Z26)</f>
        <v>23.833333333333332</v>
      </c>
      <c r="AB26" s="22">
        <f>SUM(P26,R26,T26,V26,X26,Z26)</f>
        <v>143</v>
      </c>
      <c r="AC26" s="1">
        <f>MAX(P26,R26,T26,V26,X26,Z26)</f>
        <v>49</v>
      </c>
      <c r="AD26" s="23">
        <f>AB26-AC26</f>
        <v>94</v>
      </c>
    </row>
    <row r="27" spans="1:30" ht="12.75">
      <c r="A27">
        <v>23</v>
      </c>
      <c r="B27" t="s">
        <v>152</v>
      </c>
      <c r="C27" t="s">
        <v>153</v>
      </c>
      <c r="D27" t="s">
        <v>154</v>
      </c>
      <c r="E27" t="s">
        <v>37</v>
      </c>
      <c r="F27" s="1">
        <v>1949</v>
      </c>
      <c r="G27" s="1">
        <f>2022-F27</f>
        <v>73</v>
      </c>
      <c r="H27" s="20" t="str">
        <f>IF(F27&lt;1943,"L",IF(F27&lt;1948,"SM",IF(F27&lt;1958,"M",IF(F27&gt;1993,"U",""))))</f>
        <v>M</v>
      </c>
      <c r="I27" s="1" t="s">
        <v>155</v>
      </c>
      <c r="J27" t="s">
        <v>156</v>
      </c>
      <c r="K27" t="s">
        <v>40</v>
      </c>
      <c r="L27" t="s">
        <v>157</v>
      </c>
      <c r="M27" s="1">
        <v>2006</v>
      </c>
      <c r="N27" s="1">
        <v>97</v>
      </c>
      <c r="O27" s="1">
        <v>20</v>
      </c>
      <c r="P27" s="2">
        <v>20</v>
      </c>
      <c r="Q27" s="1">
        <v>19</v>
      </c>
      <c r="R27" s="2">
        <v>19</v>
      </c>
      <c r="S27" s="1">
        <v>48</v>
      </c>
      <c r="T27" s="3">
        <v>48</v>
      </c>
      <c r="U27" s="1">
        <v>13</v>
      </c>
      <c r="V27" s="2">
        <v>13</v>
      </c>
      <c r="W27" s="1">
        <v>31</v>
      </c>
      <c r="X27" s="2">
        <v>31</v>
      </c>
      <c r="Y27" s="1">
        <v>14</v>
      </c>
      <c r="Z27" s="2">
        <v>14</v>
      </c>
      <c r="AA27" s="21">
        <f>AVERAGE(P27,R27,T27,V27,X27,Z27)</f>
        <v>24.166666666666668</v>
      </c>
      <c r="AB27" s="22">
        <f>SUM(P27,R27,T27,V27,X27,Z27)</f>
        <v>145</v>
      </c>
      <c r="AC27" s="1">
        <f>MAX(P27,R27,T27,V27,X27,Z27)</f>
        <v>48</v>
      </c>
      <c r="AD27" s="23">
        <f>AB27-AC27</f>
        <v>97</v>
      </c>
    </row>
    <row r="28" spans="1:30" ht="12.75">
      <c r="A28">
        <v>24</v>
      </c>
      <c r="B28" t="s">
        <v>158</v>
      </c>
      <c r="C28" t="s">
        <v>61</v>
      </c>
      <c r="D28" t="s">
        <v>159</v>
      </c>
      <c r="E28" t="s">
        <v>127</v>
      </c>
      <c r="F28" s="1">
        <v>1956</v>
      </c>
      <c r="G28" s="1">
        <f>2022-F28</f>
        <v>66</v>
      </c>
      <c r="H28" s="20" t="str">
        <f>IF(F28&lt;1943,"L",IF(F28&lt;1948,"SM",IF(F28&lt;1958,"M",IF(F28&gt;1993,"U",""))))</f>
        <v>M</v>
      </c>
      <c r="I28" s="1" t="s">
        <v>160</v>
      </c>
      <c r="J28" t="s">
        <v>161</v>
      </c>
      <c r="K28" t="s">
        <v>32</v>
      </c>
      <c r="L28" t="s">
        <v>33</v>
      </c>
      <c r="M28" s="1">
        <v>2021</v>
      </c>
      <c r="N28" s="1">
        <v>110</v>
      </c>
      <c r="O28" s="1">
        <v>23</v>
      </c>
      <c r="P28" s="2">
        <v>23</v>
      </c>
      <c r="Q28" s="1">
        <v>33</v>
      </c>
      <c r="R28" s="2">
        <v>33</v>
      </c>
      <c r="S28" s="1">
        <v>30</v>
      </c>
      <c r="T28" s="3">
        <v>30</v>
      </c>
      <c r="U28" s="1">
        <v>16</v>
      </c>
      <c r="V28" s="2">
        <v>16</v>
      </c>
      <c r="W28" s="1">
        <v>14</v>
      </c>
      <c r="X28" s="2">
        <v>14</v>
      </c>
      <c r="Y28" s="1">
        <v>27</v>
      </c>
      <c r="Z28" s="2">
        <v>27</v>
      </c>
      <c r="AA28" s="21">
        <f>AVERAGE(P28,R28,T28,V28,X28,Z28)</f>
        <v>23.833333333333332</v>
      </c>
      <c r="AB28" s="22">
        <f>SUM(P28,R28,T28,V28,X28,Z28)</f>
        <v>143</v>
      </c>
      <c r="AC28" s="1">
        <f>MAX(P28,R28,T28,V28,X28,Z28)</f>
        <v>33</v>
      </c>
      <c r="AD28" s="23">
        <f>AB28-AC28</f>
        <v>110</v>
      </c>
    </row>
    <row r="29" spans="1:30" ht="12.75">
      <c r="A29">
        <v>25</v>
      </c>
      <c r="B29" t="s">
        <v>162</v>
      </c>
      <c r="C29" t="s">
        <v>99</v>
      </c>
      <c r="D29" t="s">
        <v>163</v>
      </c>
      <c r="E29" t="s">
        <v>111</v>
      </c>
      <c r="F29" s="1">
        <v>1990</v>
      </c>
      <c r="G29" s="1">
        <f>2022-F29</f>
        <v>32</v>
      </c>
      <c r="H29" s="20">
        <f>IF(F29&lt;1943,"L",IF(F29&lt;1948,"SM",IF(F29&lt;1958,"M",IF(F29&gt;1993,"U",""))))</f>
      </c>
      <c r="I29" s="1" t="s">
        <v>164</v>
      </c>
      <c r="J29" t="s">
        <v>165</v>
      </c>
      <c r="K29" t="s">
        <v>52</v>
      </c>
      <c r="L29" t="s">
        <v>33</v>
      </c>
      <c r="M29" s="1">
        <v>1973</v>
      </c>
      <c r="N29" s="1">
        <v>111</v>
      </c>
      <c r="O29" s="1">
        <v>24</v>
      </c>
      <c r="P29" s="2">
        <v>24</v>
      </c>
      <c r="Q29" s="1">
        <v>21</v>
      </c>
      <c r="R29" s="2">
        <v>21</v>
      </c>
      <c r="S29" s="1">
        <v>15</v>
      </c>
      <c r="T29" s="3">
        <v>15</v>
      </c>
      <c r="U29" s="1">
        <v>24</v>
      </c>
      <c r="V29" s="2">
        <v>24</v>
      </c>
      <c r="W29" s="1">
        <v>27</v>
      </c>
      <c r="X29" s="2">
        <v>27</v>
      </c>
      <c r="Y29" s="1">
        <v>32</v>
      </c>
      <c r="Z29" s="2">
        <v>32</v>
      </c>
      <c r="AA29" s="21">
        <f>AVERAGE(P29,R29,T29,V29,X29,Z29)</f>
        <v>23.833333333333332</v>
      </c>
      <c r="AB29" s="22">
        <f>SUM(P29,R29,T29,V29,X29,Z29)</f>
        <v>143</v>
      </c>
      <c r="AC29" s="1">
        <f>MAX(P29,R29,T29,V29,X29,Z29)</f>
        <v>32</v>
      </c>
      <c r="AD29" s="23">
        <f>AB29-AC29</f>
        <v>111</v>
      </c>
    </row>
    <row r="30" spans="1:30" ht="12.75">
      <c r="A30">
        <v>26</v>
      </c>
      <c r="B30" t="s">
        <v>166</v>
      </c>
      <c r="C30" t="s">
        <v>167</v>
      </c>
      <c r="D30" t="s">
        <v>36</v>
      </c>
      <c r="E30" t="s">
        <v>37</v>
      </c>
      <c r="F30" s="1">
        <v>1955</v>
      </c>
      <c r="G30" s="1">
        <f>2022-F30</f>
        <v>67</v>
      </c>
      <c r="H30" s="20" t="str">
        <f>IF(F30&lt;1943,"L",IF(F30&lt;1948,"SM",IF(F30&lt;1958,"M",IF(F30&gt;1993,"U",""))))</f>
        <v>M</v>
      </c>
      <c r="I30" s="1" t="s">
        <v>168</v>
      </c>
      <c r="J30" t="s">
        <v>169</v>
      </c>
      <c r="K30" t="s">
        <v>32</v>
      </c>
      <c r="L30" t="s">
        <v>33</v>
      </c>
      <c r="M30" s="1">
        <v>2005</v>
      </c>
      <c r="N30" s="1">
        <v>113</v>
      </c>
      <c r="O30" s="1">
        <v>13</v>
      </c>
      <c r="P30" s="2">
        <v>13</v>
      </c>
      <c r="Q30" s="1">
        <v>14</v>
      </c>
      <c r="R30" s="2">
        <v>14</v>
      </c>
      <c r="S30" s="1">
        <v>20</v>
      </c>
      <c r="T30" s="3">
        <v>20</v>
      </c>
      <c r="U30" s="1">
        <v>33</v>
      </c>
      <c r="V30" s="2">
        <v>33</v>
      </c>
      <c r="W30" s="1">
        <v>37</v>
      </c>
      <c r="X30" s="2">
        <v>37</v>
      </c>
      <c r="Y30" s="1">
        <v>33</v>
      </c>
      <c r="Z30" s="2">
        <v>33</v>
      </c>
      <c r="AA30" s="21">
        <f>AVERAGE(P30,R30,T30,V30,X30,Z30)</f>
        <v>25</v>
      </c>
      <c r="AB30" s="22">
        <f>SUM(P30,R30,T30,V30,X30,Z30)</f>
        <v>150</v>
      </c>
      <c r="AC30" s="1">
        <f>MAX(P30,R30,T30,V30,X30,Z30)</f>
        <v>37</v>
      </c>
      <c r="AD30" s="23">
        <f>AB30-AC30</f>
        <v>113</v>
      </c>
    </row>
    <row r="31" spans="1:30" ht="12.75">
      <c r="A31">
        <v>27</v>
      </c>
      <c r="B31" t="s">
        <v>170</v>
      </c>
      <c r="C31" t="s">
        <v>103</v>
      </c>
      <c r="D31" t="s">
        <v>171</v>
      </c>
      <c r="E31" t="s">
        <v>29</v>
      </c>
      <c r="F31" s="1">
        <v>1954</v>
      </c>
      <c r="G31" s="1">
        <f>2022-F31</f>
        <v>68</v>
      </c>
      <c r="H31" s="20" t="str">
        <f>IF(F31&lt;1943,"L",IF(F31&lt;1948,"SM",IF(F31&lt;1958,"M",IF(F31&gt;1993,"U",""))))</f>
        <v>M</v>
      </c>
      <c r="I31" s="1" t="s">
        <v>172</v>
      </c>
      <c r="J31" t="s">
        <v>173</v>
      </c>
      <c r="K31" t="s">
        <v>32</v>
      </c>
      <c r="L31" t="s">
        <v>33</v>
      </c>
      <c r="M31" s="1">
        <v>2019</v>
      </c>
      <c r="N31" s="1">
        <v>114</v>
      </c>
      <c r="O31" s="1">
        <v>10</v>
      </c>
      <c r="P31" s="2">
        <v>10</v>
      </c>
      <c r="Q31" s="1">
        <v>16</v>
      </c>
      <c r="R31" s="2">
        <v>16</v>
      </c>
      <c r="S31" s="1">
        <v>25</v>
      </c>
      <c r="T31" s="3">
        <v>25</v>
      </c>
      <c r="U31" s="1">
        <v>32</v>
      </c>
      <c r="V31" s="2">
        <v>32</v>
      </c>
      <c r="W31" s="1">
        <v>46</v>
      </c>
      <c r="X31" s="2">
        <v>46</v>
      </c>
      <c r="Y31" s="1">
        <v>31</v>
      </c>
      <c r="Z31" s="2">
        <v>31</v>
      </c>
      <c r="AA31" s="21">
        <f>AVERAGE(P31,R31,T31,V31,X31,Z31)</f>
        <v>26.666666666666668</v>
      </c>
      <c r="AB31" s="22">
        <f>SUM(P31,R31,T31,V31,X31,Z31)</f>
        <v>160</v>
      </c>
      <c r="AC31" s="1">
        <f>MAX(P31,R31,T31,V31,X31,Z31)</f>
        <v>46</v>
      </c>
      <c r="AD31" s="23">
        <f>AB31-AC31</f>
        <v>114</v>
      </c>
    </row>
    <row r="32" spans="1:30" ht="12.75">
      <c r="A32">
        <v>28</v>
      </c>
      <c r="B32" t="s">
        <v>174</v>
      </c>
      <c r="C32" t="s">
        <v>175</v>
      </c>
      <c r="D32" t="s">
        <v>176</v>
      </c>
      <c r="E32" t="s">
        <v>29</v>
      </c>
      <c r="F32" s="1">
        <v>1958</v>
      </c>
      <c r="G32" s="1">
        <f>2022-F32</f>
        <v>64</v>
      </c>
      <c r="H32" s="20">
        <f>IF(F32&lt;1943,"L",IF(F32&lt;1948,"SM",IF(F32&lt;1958,"M",IF(F32&gt;1993,"U",""))))</f>
      </c>
      <c r="I32" s="1" t="s">
        <v>177</v>
      </c>
      <c r="J32" t="s">
        <v>178</v>
      </c>
      <c r="K32" t="s">
        <v>32</v>
      </c>
      <c r="L32" t="s">
        <v>33</v>
      </c>
      <c r="M32" s="1">
        <v>2018</v>
      </c>
      <c r="N32" s="1">
        <v>122</v>
      </c>
      <c r="O32" s="1">
        <v>7</v>
      </c>
      <c r="P32" s="2">
        <v>7</v>
      </c>
      <c r="Q32" s="1">
        <v>2</v>
      </c>
      <c r="R32" s="2">
        <v>2</v>
      </c>
      <c r="S32" s="1">
        <v>17</v>
      </c>
      <c r="T32" s="3">
        <v>17</v>
      </c>
      <c r="U32" s="1" t="s">
        <v>76</v>
      </c>
      <c r="V32" s="2">
        <v>73</v>
      </c>
      <c r="W32" s="1">
        <v>23</v>
      </c>
      <c r="X32" s="2">
        <v>23</v>
      </c>
      <c r="Y32" s="1" t="s">
        <v>130</v>
      </c>
      <c r="Z32" s="2">
        <v>73</v>
      </c>
      <c r="AA32" s="21">
        <f>AVERAGE(P32,R32,T32,V32,X32,Z32)</f>
        <v>32.5</v>
      </c>
      <c r="AB32" s="22">
        <f>SUM(P32,R32,T32,V32,X32,Z32)</f>
        <v>195</v>
      </c>
      <c r="AC32" s="1">
        <f>MAX(P32,R32,T32,V32,X32,Z32)</f>
        <v>73</v>
      </c>
      <c r="AD32" s="23">
        <f>AB32-AC32</f>
        <v>122</v>
      </c>
    </row>
    <row r="33" spans="1:30" ht="12.75">
      <c r="A33">
        <v>29</v>
      </c>
      <c r="B33" t="s">
        <v>179</v>
      </c>
      <c r="C33" t="s">
        <v>180</v>
      </c>
      <c r="D33" t="s">
        <v>36</v>
      </c>
      <c r="E33" t="s">
        <v>37</v>
      </c>
      <c r="F33" s="1">
        <v>1967</v>
      </c>
      <c r="G33" s="1">
        <f>2022-F33</f>
        <v>55</v>
      </c>
      <c r="H33" s="20">
        <f>IF(F33&lt;1943,"L",IF(F33&lt;1948,"SM",IF(F33&lt;1958,"M",IF(F33&gt;1993,"U",""))))</f>
      </c>
      <c r="I33" s="1" t="s">
        <v>181</v>
      </c>
      <c r="J33" t="s">
        <v>182</v>
      </c>
      <c r="K33" t="s">
        <v>52</v>
      </c>
      <c r="L33" t="s">
        <v>183</v>
      </c>
      <c r="M33" s="1">
        <v>2012</v>
      </c>
      <c r="N33" s="1">
        <v>126</v>
      </c>
      <c r="O33" s="1">
        <v>28</v>
      </c>
      <c r="P33" s="2">
        <v>28</v>
      </c>
      <c r="Q33" s="1">
        <v>43</v>
      </c>
      <c r="R33" s="2">
        <v>43</v>
      </c>
      <c r="S33" s="1">
        <v>33</v>
      </c>
      <c r="T33" s="3">
        <v>33</v>
      </c>
      <c r="U33" s="1" t="s">
        <v>76</v>
      </c>
      <c r="V33" s="2">
        <v>73</v>
      </c>
      <c r="W33" s="1">
        <v>16</v>
      </c>
      <c r="X33" s="2">
        <v>16</v>
      </c>
      <c r="Y33" s="1">
        <v>6</v>
      </c>
      <c r="Z33" s="2">
        <v>6</v>
      </c>
      <c r="AA33" s="21">
        <f>AVERAGE(P33,R33,T33,V33,X33,Z33)</f>
        <v>33.166666666666664</v>
      </c>
      <c r="AB33" s="22">
        <f>SUM(P33,R33,T33,V33,X33,Z33)</f>
        <v>199</v>
      </c>
      <c r="AC33" s="1">
        <f>MAX(P33,R33,T33,V33,X33,Z33)</f>
        <v>73</v>
      </c>
      <c r="AD33" s="23">
        <f>AB33-AC33</f>
        <v>126</v>
      </c>
    </row>
    <row r="34" spans="1:30" ht="12.75">
      <c r="A34">
        <v>30</v>
      </c>
      <c r="B34" t="s">
        <v>184</v>
      </c>
      <c r="C34" t="s">
        <v>175</v>
      </c>
      <c r="D34" t="s">
        <v>185</v>
      </c>
      <c r="E34" t="s">
        <v>111</v>
      </c>
      <c r="F34" s="1">
        <v>1949</v>
      </c>
      <c r="G34" s="1">
        <f>2022-F34</f>
        <v>73</v>
      </c>
      <c r="H34" s="20" t="str">
        <f>IF(F34&lt;1943,"L",IF(F34&lt;1948,"SM",IF(F34&lt;1958,"M",IF(F34&gt;1993,"U",""))))</f>
        <v>M</v>
      </c>
      <c r="I34" s="1" t="s">
        <v>30</v>
      </c>
      <c r="J34" t="s">
        <v>186</v>
      </c>
      <c r="K34" t="s">
        <v>32</v>
      </c>
      <c r="L34" t="s">
        <v>33</v>
      </c>
      <c r="M34" s="1">
        <v>2008</v>
      </c>
      <c r="N34" s="1">
        <v>131</v>
      </c>
      <c r="O34" s="1">
        <v>41</v>
      </c>
      <c r="P34" s="2">
        <v>41</v>
      </c>
      <c r="Q34" s="1">
        <v>22</v>
      </c>
      <c r="R34" s="2">
        <v>22</v>
      </c>
      <c r="S34" s="1">
        <v>44</v>
      </c>
      <c r="T34" s="3">
        <v>44</v>
      </c>
      <c r="U34" s="1">
        <v>12</v>
      </c>
      <c r="V34" s="2">
        <v>12</v>
      </c>
      <c r="W34" s="1">
        <v>36</v>
      </c>
      <c r="X34" s="2">
        <v>36</v>
      </c>
      <c r="Y34" s="1">
        <v>20</v>
      </c>
      <c r="Z34" s="2">
        <v>20</v>
      </c>
      <c r="AA34" s="21">
        <f>AVERAGE(P34,R34,T34,V34,X34,Z34)</f>
        <v>29.166666666666668</v>
      </c>
      <c r="AB34" s="22">
        <f>SUM(P34,R34,T34,V34,X34,Z34)</f>
        <v>175</v>
      </c>
      <c r="AC34" s="1">
        <f>MAX(P34,R34,T34,V34,X34,Z34)</f>
        <v>44</v>
      </c>
      <c r="AD34" s="23">
        <f>AB34-AC34</f>
        <v>131</v>
      </c>
    </row>
    <row r="35" spans="1:30" ht="12.75">
      <c r="A35">
        <v>31</v>
      </c>
      <c r="B35" t="s">
        <v>187</v>
      </c>
      <c r="C35" t="s">
        <v>188</v>
      </c>
      <c r="D35" t="s">
        <v>189</v>
      </c>
      <c r="E35" t="s">
        <v>57</v>
      </c>
      <c r="F35" s="1">
        <v>1945</v>
      </c>
      <c r="G35" s="1">
        <f>2022-F35</f>
        <v>77</v>
      </c>
      <c r="H35" s="20" t="str">
        <f>IF(F35&lt;1943,"L",IF(F35&lt;1948,"SM",IF(F35&lt;1958,"M",IF(F35&gt;1993,"U",""))))</f>
        <v>SM</v>
      </c>
      <c r="I35" s="1" t="s">
        <v>190</v>
      </c>
      <c r="J35" t="s">
        <v>191</v>
      </c>
      <c r="K35" t="s">
        <v>32</v>
      </c>
      <c r="L35" t="s">
        <v>33</v>
      </c>
      <c r="M35" s="1">
        <v>2014</v>
      </c>
      <c r="N35" s="1">
        <v>132</v>
      </c>
      <c r="O35" s="1">
        <v>36</v>
      </c>
      <c r="P35" s="2">
        <v>36</v>
      </c>
      <c r="Q35" s="1">
        <v>23</v>
      </c>
      <c r="R35" s="2">
        <v>23</v>
      </c>
      <c r="S35" s="1">
        <v>21</v>
      </c>
      <c r="T35" s="3">
        <v>21</v>
      </c>
      <c r="U35" s="1">
        <v>35</v>
      </c>
      <c r="V35" s="2">
        <v>35</v>
      </c>
      <c r="W35" s="1">
        <v>25</v>
      </c>
      <c r="X35" s="2">
        <v>25</v>
      </c>
      <c r="Y35" s="1">
        <v>28</v>
      </c>
      <c r="Z35" s="2">
        <v>28</v>
      </c>
      <c r="AA35" s="21">
        <f>AVERAGE(P35,R35,T35,V35,X35,Z35)</f>
        <v>28</v>
      </c>
      <c r="AB35" s="22">
        <f>SUM(P35,R35,T35,V35,X35,Z35)</f>
        <v>168</v>
      </c>
      <c r="AC35" s="1">
        <f>MAX(P35,R35,T35,V35,X35,Z35)</f>
        <v>36</v>
      </c>
      <c r="AD35" s="23">
        <f>AB35-AC35</f>
        <v>132</v>
      </c>
    </row>
    <row r="36" spans="1:30" ht="12.75">
      <c r="A36">
        <v>32</v>
      </c>
      <c r="B36" t="s">
        <v>192</v>
      </c>
      <c r="C36" t="s">
        <v>193</v>
      </c>
      <c r="D36" t="s">
        <v>194</v>
      </c>
      <c r="E36" t="s">
        <v>37</v>
      </c>
      <c r="F36" s="1">
        <v>1949</v>
      </c>
      <c r="G36" s="1">
        <f>2022-F36</f>
        <v>73</v>
      </c>
      <c r="H36" s="20" t="str">
        <f>IF(F36&lt;1943,"L",IF(F36&lt;1948,"SM",IF(F36&lt;1958,"M",IF(F36&gt;1993,"U",""))))</f>
        <v>M</v>
      </c>
      <c r="I36" s="1" t="s">
        <v>195</v>
      </c>
      <c r="J36" t="s">
        <v>196</v>
      </c>
      <c r="K36" t="s">
        <v>40</v>
      </c>
      <c r="L36" t="s">
        <v>45</v>
      </c>
      <c r="M36" s="1">
        <v>2000</v>
      </c>
      <c r="N36" s="1">
        <v>142</v>
      </c>
      <c r="O36" s="1">
        <v>47</v>
      </c>
      <c r="P36" s="2">
        <v>47</v>
      </c>
      <c r="Q36" s="1">
        <v>9</v>
      </c>
      <c r="R36" s="2">
        <v>9</v>
      </c>
      <c r="S36" s="1">
        <v>27</v>
      </c>
      <c r="T36" s="3">
        <v>27</v>
      </c>
      <c r="U36" s="1">
        <v>34</v>
      </c>
      <c r="V36" s="2">
        <v>34</v>
      </c>
      <c r="W36" s="1">
        <v>43</v>
      </c>
      <c r="X36" s="2">
        <v>43</v>
      </c>
      <c r="Y36" s="1">
        <v>29</v>
      </c>
      <c r="Z36" s="2">
        <v>29</v>
      </c>
      <c r="AA36" s="21">
        <f>AVERAGE(P36,R36,T36,V36,X36,Z36)</f>
        <v>31.5</v>
      </c>
      <c r="AB36" s="22">
        <f>SUM(P36,R36,T36,V36,X36,Z36)</f>
        <v>189</v>
      </c>
      <c r="AC36" s="1">
        <f>MAX(P36,R36,T36,V36,X36,Z36)</f>
        <v>47</v>
      </c>
      <c r="AD36" s="23">
        <f>AB36-AC36</f>
        <v>142</v>
      </c>
    </row>
    <row r="37" spans="1:30" ht="12.75">
      <c r="A37">
        <v>33</v>
      </c>
      <c r="B37" t="s">
        <v>197</v>
      </c>
      <c r="C37" t="s">
        <v>198</v>
      </c>
      <c r="D37" t="s">
        <v>199</v>
      </c>
      <c r="E37" t="s">
        <v>145</v>
      </c>
      <c r="F37" s="1">
        <v>1943</v>
      </c>
      <c r="G37" s="1">
        <f>2022-F37</f>
        <v>79</v>
      </c>
      <c r="H37" s="20" t="str">
        <f>IF(F37&lt;1943,"L",IF(F37&lt;1948,"SM",IF(F37&lt;1958,"M",IF(F37&gt;1993,"U",""))))</f>
        <v>SM</v>
      </c>
      <c r="I37" s="1" t="s">
        <v>200</v>
      </c>
      <c r="J37" t="s">
        <v>201</v>
      </c>
      <c r="K37" t="s">
        <v>40</v>
      </c>
      <c r="L37" t="s">
        <v>157</v>
      </c>
      <c r="M37" s="1">
        <v>1999</v>
      </c>
      <c r="N37" s="1">
        <v>146</v>
      </c>
      <c r="O37" s="1">
        <v>32</v>
      </c>
      <c r="P37" s="2">
        <v>32</v>
      </c>
      <c r="Q37" s="1">
        <v>7</v>
      </c>
      <c r="R37" s="2">
        <v>7</v>
      </c>
      <c r="S37" s="1">
        <v>31</v>
      </c>
      <c r="T37" s="3">
        <v>31</v>
      </c>
      <c r="U37" s="1">
        <v>31</v>
      </c>
      <c r="V37" s="2">
        <v>31</v>
      </c>
      <c r="W37" s="1">
        <v>45</v>
      </c>
      <c r="X37" s="2">
        <v>45</v>
      </c>
      <c r="Y37" s="1">
        <v>46</v>
      </c>
      <c r="Z37" s="2">
        <v>46</v>
      </c>
      <c r="AA37" s="21">
        <f>AVERAGE(P37,R37,T37,V37,X37,Z37)</f>
        <v>32</v>
      </c>
      <c r="AB37" s="22">
        <f>SUM(P37,R37,T37,V37,X37,Z37)</f>
        <v>192</v>
      </c>
      <c r="AC37" s="1">
        <f>MAX(P37,R37,T37,V37,X37,Z37)</f>
        <v>46</v>
      </c>
      <c r="AD37" s="23">
        <f>AB37-AC37</f>
        <v>146</v>
      </c>
    </row>
    <row r="38" spans="1:30" ht="12.75">
      <c r="A38">
        <v>34</v>
      </c>
      <c r="B38" t="s">
        <v>202</v>
      </c>
      <c r="C38" t="s">
        <v>203</v>
      </c>
      <c r="D38" t="s">
        <v>176</v>
      </c>
      <c r="E38" t="s">
        <v>29</v>
      </c>
      <c r="F38" s="1">
        <v>1970</v>
      </c>
      <c r="G38" s="1">
        <f>2022-F38</f>
        <v>52</v>
      </c>
      <c r="H38" s="20">
        <f>IF(F38&lt;1943,"L",IF(F38&lt;1948,"SM",IF(F38&lt;1958,"M",IF(F38&gt;1993,"U",""))))</f>
      </c>
      <c r="I38" s="1" t="s">
        <v>204</v>
      </c>
      <c r="J38" t="s">
        <v>205</v>
      </c>
      <c r="K38" t="s">
        <v>32</v>
      </c>
      <c r="L38" t="s">
        <v>33</v>
      </c>
      <c r="M38" s="1">
        <v>2013</v>
      </c>
      <c r="N38" s="1">
        <v>147</v>
      </c>
      <c r="O38" s="1">
        <v>25</v>
      </c>
      <c r="P38" s="2">
        <v>25</v>
      </c>
      <c r="Q38" s="1">
        <v>45</v>
      </c>
      <c r="R38" s="2">
        <v>45</v>
      </c>
      <c r="S38" s="1">
        <v>10</v>
      </c>
      <c r="T38" s="3">
        <v>10</v>
      </c>
      <c r="U38" s="1">
        <v>38</v>
      </c>
      <c r="V38" s="2">
        <v>38</v>
      </c>
      <c r="W38" s="1">
        <v>40</v>
      </c>
      <c r="X38" s="2">
        <v>40</v>
      </c>
      <c r="Y38" s="1">
        <v>34</v>
      </c>
      <c r="Z38" s="2">
        <v>34</v>
      </c>
      <c r="AA38" s="21">
        <f>AVERAGE(P38,R38,T38,V38,X38,Z38)</f>
        <v>32</v>
      </c>
      <c r="AB38" s="22">
        <f>SUM(P38,R38,T38,V38,X38,Z38)</f>
        <v>192</v>
      </c>
      <c r="AC38" s="1">
        <f>MAX(P38,R38,T38,V38,X38,Z38)</f>
        <v>45</v>
      </c>
      <c r="AD38" s="23">
        <f>AB38-AC38</f>
        <v>147</v>
      </c>
    </row>
    <row r="39" spans="1:30" ht="12.75">
      <c r="A39">
        <v>35</v>
      </c>
      <c r="B39" t="s">
        <v>206</v>
      </c>
      <c r="C39" t="s">
        <v>188</v>
      </c>
      <c r="D39" t="s">
        <v>207</v>
      </c>
      <c r="E39" t="s">
        <v>29</v>
      </c>
      <c r="F39" s="1">
        <v>1961</v>
      </c>
      <c r="G39" s="1">
        <f>2022-F39</f>
        <v>61</v>
      </c>
      <c r="H39" s="20">
        <f>IF(F39&lt;1943,"L",IF(F39&lt;1948,"SM",IF(F39&lt;1958,"M",IF(F39&gt;1993,"U",""))))</f>
      </c>
      <c r="I39" s="1" t="s">
        <v>208</v>
      </c>
      <c r="J39" t="s">
        <v>209</v>
      </c>
      <c r="K39" t="s">
        <v>32</v>
      </c>
      <c r="L39" t="s">
        <v>33</v>
      </c>
      <c r="M39" s="1">
        <v>2019</v>
      </c>
      <c r="N39" s="1">
        <v>147</v>
      </c>
      <c r="O39" s="1">
        <v>19</v>
      </c>
      <c r="P39" s="2">
        <v>19</v>
      </c>
      <c r="Q39" s="1">
        <v>48</v>
      </c>
      <c r="R39" s="2">
        <v>48</v>
      </c>
      <c r="S39" s="1">
        <v>43</v>
      </c>
      <c r="T39" s="3">
        <v>43</v>
      </c>
      <c r="U39" s="1">
        <v>20</v>
      </c>
      <c r="V39" s="2">
        <v>20</v>
      </c>
      <c r="W39" s="1">
        <v>30</v>
      </c>
      <c r="X39" s="2">
        <v>30</v>
      </c>
      <c r="Y39" s="1">
        <v>35</v>
      </c>
      <c r="Z39" s="2">
        <v>35</v>
      </c>
      <c r="AA39" s="21">
        <f>AVERAGE(P39,R39,T39,V39,X39,Z39)</f>
        <v>32.5</v>
      </c>
      <c r="AB39" s="22">
        <f>SUM(P39,R39,T39,V39,X39,Z39)</f>
        <v>195</v>
      </c>
      <c r="AC39" s="1">
        <f>MAX(P39,R39,T39,V39,X39,Z39)</f>
        <v>48</v>
      </c>
      <c r="AD39" s="23">
        <f>AB39-AC39</f>
        <v>147</v>
      </c>
    </row>
    <row r="40" spans="1:30" ht="12.75">
      <c r="A40">
        <v>36</v>
      </c>
      <c r="B40" t="s">
        <v>210</v>
      </c>
      <c r="C40" t="s">
        <v>211</v>
      </c>
      <c r="D40" t="s">
        <v>212</v>
      </c>
      <c r="E40" t="s">
        <v>37</v>
      </c>
      <c r="F40" s="1">
        <v>1965</v>
      </c>
      <c r="G40" s="1">
        <f>2022-F40</f>
        <v>57</v>
      </c>
      <c r="H40" s="20">
        <f>IF(F40&lt;1943,"L",IF(F40&lt;1948,"SM",IF(F40&lt;1958,"M",IF(F40&gt;1993,"U",""))))</f>
      </c>
      <c r="I40" s="1" t="s">
        <v>213</v>
      </c>
      <c r="J40" t="s">
        <v>214</v>
      </c>
      <c r="K40" t="s">
        <v>40</v>
      </c>
      <c r="L40" t="s">
        <v>136</v>
      </c>
      <c r="M40" s="1">
        <v>2016</v>
      </c>
      <c r="N40" s="1">
        <v>155</v>
      </c>
      <c r="O40" s="1" t="s">
        <v>130</v>
      </c>
      <c r="P40" s="2" t="s">
        <v>130</v>
      </c>
      <c r="Q40" s="1">
        <v>49</v>
      </c>
      <c r="R40" s="2">
        <v>49</v>
      </c>
      <c r="S40" s="1">
        <v>55</v>
      </c>
      <c r="T40" s="3">
        <v>55</v>
      </c>
      <c r="U40" s="1">
        <v>22</v>
      </c>
      <c r="V40" s="2">
        <v>22</v>
      </c>
      <c r="W40" s="1">
        <v>21</v>
      </c>
      <c r="X40" s="2">
        <v>21</v>
      </c>
      <c r="Y40" s="1">
        <v>8</v>
      </c>
      <c r="Z40" s="2">
        <v>8</v>
      </c>
      <c r="AA40" s="21">
        <f>AVERAGE(P40,R40,T40,V40,X40,Z40)</f>
        <v>31</v>
      </c>
      <c r="AB40" s="22">
        <f>SUM(P40,R40,T40,V40,X40,Z40)</f>
        <v>155</v>
      </c>
      <c r="AC40" s="1">
        <f>MAX(P40,R40,T40,V40,X40,Z40)</f>
        <v>55</v>
      </c>
      <c r="AD40" s="23">
        <f>AB40-AC40</f>
        <v>100</v>
      </c>
    </row>
    <row r="41" spans="1:30" ht="12.75">
      <c r="A41">
        <v>37</v>
      </c>
      <c r="B41" t="s">
        <v>215</v>
      </c>
      <c r="C41" t="s">
        <v>216</v>
      </c>
      <c r="D41" t="s">
        <v>36</v>
      </c>
      <c r="E41" t="s">
        <v>37</v>
      </c>
      <c r="F41" s="1">
        <v>1959</v>
      </c>
      <c r="G41" s="1">
        <f>2022-F41</f>
        <v>63</v>
      </c>
      <c r="H41" s="20">
        <f>IF(F41&lt;1943,"L",IF(F41&lt;1948,"SM",IF(F41&lt;1958,"M",IF(F41&gt;1993,"U",""))))</f>
      </c>
      <c r="I41" s="1" t="s">
        <v>217</v>
      </c>
      <c r="J41" t="s">
        <v>218</v>
      </c>
      <c r="K41" t="s">
        <v>40</v>
      </c>
      <c r="L41" t="s">
        <v>45</v>
      </c>
      <c r="M41" s="1">
        <v>2000</v>
      </c>
      <c r="N41" s="1">
        <v>161</v>
      </c>
      <c r="O41" s="1">
        <v>27</v>
      </c>
      <c r="P41" s="2">
        <v>27</v>
      </c>
      <c r="Q41" s="1">
        <v>52</v>
      </c>
      <c r="R41" s="2">
        <v>52</v>
      </c>
      <c r="S41" s="1" t="s">
        <v>130</v>
      </c>
      <c r="T41" s="3" t="s">
        <v>130</v>
      </c>
      <c r="U41" s="1">
        <v>26</v>
      </c>
      <c r="V41" s="2">
        <v>26</v>
      </c>
      <c r="W41" s="1">
        <v>38</v>
      </c>
      <c r="X41" s="2">
        <v>38</v>
      </c>
      <c r="Y41" s="1">
        <v>18</v>
      </c>
      <c r="Z41" s="2">
        <v>18</v>
      </c>
      <c r="AA41" s="21">
        <f>AVERAGE(P41,R41,T41,V41,X41,Z41)</f>
        <v>32.2</v>
      </c>
      <c r="AB41" s="22">
        <f>SUM(P41,R41,T41,V41,X41,Z41)</f>
        <v>161</v>
      </c>
      <c r="AC41" s="1">
        <f>MAX(P41,R41,T41,V41,X41,Z41)</f>
        <v>52</v>
      </c>
      <c r="AD41" s="23">
        <f>AB41-AC41</f>
        <v>109</v>
      </c>
    </row>
    <row r="42" spans="1:30" ht="12.75">
      <c r="A42">
        <v>38</v>
      </c>
      <c r="B42" t="s">
        <v>219</v>
      </c>
      <c r="C42" t="s">
        <v>61</v>
      </c>
      <c r="D42" t="s">
        <v>220</v>
      </c>
      <c r="E42" t="s">
        <v>29</v>
      </c>
      <c r="F42" s="1">
        <v>1957</v>
      </c>
      <c r="G42" s="1">
        <f>2022-F42</f>
        <v>65</v>
      </c>
      <c r="H42" s="20" t="str">
        <f>IF(F42&lt;1943,"L",IF(F42&lt;1948,"SM",IF(F42&lt;1958,"M",IF(F42&gt;1993,"U",""))))</f>
        <v>M</v>
      </c>
      <c r="I42" s="1" t="s">
        <v>221</v>
      </c>
      <c r="J42" t="s">
        <v>222</v>
      </c>
      <c r="K42" t="s">
        <v>32</v>
      </c>
      <c r="L42" t="s">
        <v>33</v>
      </c>
      <c r="M42" s="1">
        <v>2012</v>
      </c>
      <c r="N42" s="1">
        <v>161</v>
      </c>
      <c r="O42" s="1">
        <v>34</v>
      </c>
      <c r="P42" s="2">
        <v>34</v>
      </c>
      <c r="Q42" s="1">
        <v>56</v>
      </c>
      <c r="R42" s="2">
        <v>56</v>
      </c>
      <c r="S42" s="1">
        <v>22</v>
      </c>
      <c r="T42" s="3">
        <v>22</v>
      </c>
      <c r="U42" s="1">
        <v>19</v>
      </c>
      <c r="V42" s="2">
        <v>19</v>
      </c>
      <c r="W42" s="1">
        <v>57</v>
      </c>
      <c r="X42" s="2">
        <v>57</v>
      </c>
      <c r="Y42" s="1">
        <v>30</v>
      </c>
      <c r="Z42" s="2">
        <v>30</v>
      </c>
      <c r="AA42" s="21">
        <f>AVERAGE(P42,R42,T42,V42,X42,Z42)</f>
        <v>36.333333333333336</v>
      </c>
      <c r="AB42" s="22">
        <f>SUM(P42,R42,T42,V42,X42,Z42)</f>
        <v>218</v>
      </c>
      <c r="AC42" s="1">
        <f>MAX(P42,R42,T42,V42,X42,Z42)</f>
        <v>57</v>
      </c>
      <c r="AD42" s="23">
        <f>AB42-AC42</f>
        <v>161</v>
      </c>
    </row>
    <row r="43" spans="1:30" ht="12.75">
      <c r="A43">
        <v>39</v>
      </c>
      <c r="B43" t="s">
        <v>33</v>
      </c>
      <c r="C43" t="s">
        <v>93</v>
      </c>
      <c r="D43" t="s">
        <v>126</v>
      </c>
      <c r="E43" t="s">
        <v>127</v>
      </c>
      <c r="F43" s="1">
        <v>1971</v>
      </c>
      <c r="G43" s="1">
        <f>2022-F43</f>
        <v>51</v>
      </c>
      <c r="H43" s="20">
        <f>IF(F43&lt;1943,"L",IF(F43&lt;1948,"SM",IF(F43&lt;1958,"M",IF(F43&gt;1993,"U",""))))</f>
      </c>
      <c r="I43" s="1" t="s">
        <v>223</v>
      </c>
      <c r="J43" t="s">
        <v>224</v>
      </c>
      <c r="K43" t="s">
        <v>40</v>
      </c>
      <c r="L43" t="s">
        <v>33</v>
      </c>
      <c r="M43" s="1">
        <v>2022</v>
      </c>
      <c r="N43" s="1">
        <v>162</v>
      </c>
      <c r="O43" s="1">
        <v>46</v>
      </c>
      <c r="P43" s="2">
        <v>46</v>
      </c>
      <c r="Q43" s="1">
        <v>31</v>
      </c>
      <c r="R43" s="2">
        <v>31</v>
      </c>
      <c r="S43" s="1">
        <v>46</v>
      </c>
      <c r="T43" s="3">
        <v>46</v>
      </c>
      <c r="U43" s="1">
        <v>29</v>
      </c>
      <c r="V43" s="2">
        <v>29</v>
      </c>
      <c r="W43" s="1">
        <v>10</v>
      </c>
      <c r="X43" s="2">
        <v>10</v>
      </c>
      <c r="Y43" s="1" t="s">
        <v>76</v>
      </c>
      <c r="Z43" s="2" t="s">
        <v>76</v>
      </c>
      <c r="AA43" s="21">
        <f>AVERAGE(P43,R43,T43,V43,X43,Z43)</f>
        <v>32.4</v>
      </c>
      <c r="AB43" s="22">
        <f>SUM(P43,R43,T43,V43,X43,Z43)</f>
        <v>162</v>
      </c>
      <c r="AC43" s="1">
        <f>MAX(P43,R43,T43,V43,X43,Z43)</f>
        <v>46</v>
      </c>
      <c r="AD43" s="23">
        <f>AB43-AC43</f>
        <v>116</v>
      </c>
    </row>
    <row r="44" spans="1:30" ht="12.75">
      <c r="A44">
        <v>40</v>
      </c>
      <c r="B44" t="s">
        <v>225</v>
      </c>
      <c r="C44" t="s">
        <v>226</v>
      </c>
      <c r="D44" t="s">
        <v>36</v>
      </c>
      <c r="E44" t="s">
        <v>37</v>
      </c>
      <c r="F44" s="1">
        <v>1954</v>
      </c>
      <c r="G44" s="1">
        <f>2022-F44</f>
        <v>68</v>
      </c>
      <c r="H44" s="20" t="str">
        <f>IF(F44&lt;1943,"L",IF(F44&lt;1948,"SM",IF(F44&lt;1958,"M",IF(F44&gt;1993,"U",""))))</f>
        <v>M</v>
      </c>
      <c r="I44" s="1" t="s">
        <v>227</v>
      </c>
      <c r="J44" t="s">
        <v>228</v>
      </c>
      <c r="K44" t="s">
        <v>40</v>
      </c>
      <c r="L44" t="s">
        <v>157</v>
      </c>
      <c r="M44" s="1">
        <v>1989</v>
      </c>
      <c r="N44" s="1">
        <v>173</v>
      </c>
      <c r="O44" s="1">
        <v>40</v>
      </c>
      <c r="P44" s="2">
        <v>40</v>
      </c>
      <c r="Q44" s="1">
        <v>42</v>
      </c>
      <c r="R44" s="2">
        <v>42</v>
      </c>
      <c r="S44" s="1">
        <v>13</v>
      </c>
      <c r="T44" s="3">
        <v>13</v>
      </c>
      <c r="U44" s="1">
        <v>39</v>
      </c>
      <c r="V44" s="2">
        <v>39</v>
      </c>
      <c r="W44" s="1">
        <v>52</v>
      </c>
      <c r="X44" s="2">
        <v>52</v>
      </c>
      <c r="Y44" s="1">
        <v>39</v>
      </c>
      <c r="Z44" s="2">
        <v>39</v>
      </c>
      <c r="AA44" s="21">
        <f>AVERAGE(P44,R44,T44,V44,X44,Z44)</f>
        <v>37.5</v>
      </c>
      <c r="AB44" s="22">
        <f>SUM(P44,R44,T44,V44,X44,Z44)</f>
        <v>225</v>
      </c>
      <c r="AC44" s="1">
        <f>MAX(P44,R44,T44,V44,X44,Z44)</f>
        <v>52</v>
      </c>
      <c r="AD44" s="23">
        <f>AB44-AC44</f>
        <v>173</v>
      </c>
    </row>
    <row r="45" spans="1:30" ht="12.75">
      <c r="A45">
        <v>41</v>
      </c>
      <c r="B45" t="s">
        <v>229</v>
      </c>
      <c r="C45" t="s">
        <v>230</v>
      </c>
      <c r="D45" t="s">
        <v>231</v>
      </c>
      <c r="E45" t="s">
        <v>111</v>
      </c>
      <c r="F45" s="1">
        <v>1974</v>
      </c>
      <c r="G45" s="1">
        <f>2022-F45</f>
        <v>48</v>
      </c>
      <c r="H45" s="20">
        <f>IF(F45&lt;1943,"L",IF(F45&lt;1948,"SM",IF(F45&lt;1958,"M",IF(F45&gt;1993,"U",""))))</f>
      </c>
      <c r="I45" s="1" t="s">
        <v>232</v>
      </c>
      <c r="J45" t="s">
        <v>233</v>
      </c>
      <c r="K45" t="s">
        <v>40</v>
      </c>
      <c r="L45" t="s">
        <v>157</v>
      </c>
      <c r="M45" s="1">
        <v>1987</v>
      </c>
      <c r="N45" s="1">
        <v>177</v>
      </c>
      <c r="O45" s="1">
        <v>37</v>
      </c>
      <c r="P45" s="2">
        <v>37</v>
      </c>
      <c r="Q45" s="1">
        <v>41</v>
      </c>
      <c r="R45" s="2">
        <v>41</v>
      </c>
      <c r="S45" s="1">
        <v>37</v>
      </c>
      <c r="T45" s="3">
        <v>37</v>
      </c>
      <c r="U45" s="1">
        <v>30</v>
      </c>
      <c r="V45" s="2">
        <v>30</v>
      </c>
      <c r="W45" s="1">
        <v>35</v>
      </c>
      <c r="X45" s="2">
        <v>35</v>
      </c>
      <c r="Y45" s="1">
        <v>38</v>
      </c>
      <c r="Z45" s="2">
        <v>38</v>
      </c>
      <c r="AA45" s="21">
        <f>AVERAGE(P45,R45,T45,V45,X45,Z45)</f>
        <v>36.333333333333336</v>
      </c>
      <c r="AB45" s="22">
        <f>SUM(P45,R45,T45,V45,X45,Z45)</f>
        <v>218</v>
      </c>
      <c r="AC45" s="1">
        <f>MAX(P45,R45,T45,V45,X45,Z45)</f>
        <v>41</v>
      </c>
      <c r="AD45" s="23">
        <f>AB45-AC45</f>
        <v>177</v>
      </c>
    </row>
    <row r="46" spans="1:30" ht="12.75">
      <c r="A46">
        <v>42</v>
      </c>
      <c r="B46" t="s">
        <v>234</v>
      </c>
      <c r="C46" t="s">
        <v>61</v>
      </c>
      <c r="D46" t="s">
        <v>235</v>
      </c>
      <c r="E46" t="s">
        <v>29</v>
      </c>
      <c r="F46" s="1">
        <v>1970</v>
      </c>
      <c r="G46" s="1">
        <f>2022-F46</f>
        <v>52</v>
      </c>
      <c r="H46" s="20">
        <f>IF(F46&lt;1943,"L",IF(F46&lt;1948,"SM",IF(F46&lt;1958,"M",IF(F46&gt;1993,"U",""))))</f>
      </c>
      <c r="I46" s="1" t="s">
        <v>236</v>
      </c>
      <c r="J46" t="s">
        <v>237</v>
      </c>
      <c r="K46" t="s">
        <v>40</v>
      </c>
      <c r="L46" t="s">
        <v>136</v>
      </c>
      <c r="M46" s="1">
        <v>2006</v>
      </c>
      <c r="N46" s="1">
        <v>185</v>
      </c>
      <c r="O46" s="1" t="s">
        <v>130</v>
      </c>
      <c r="P46" s="2">
        <v>73</v>
      </c>
      <c r="Q46" s="1" t="s">
        <v>130</v>
      </c>
      <c r="R46" s="2">
        <v>73</v>
      </c>
      <c r="S46" s="1">
        <v>52</v>
      </c>
      <c r="T46" s="3">
        <v>52</v>
      </c>
      <c r="U46" s="1">
        <v>14</v>
      </c>
      <c r="V46" s="2">
        <v>14</v>
      </c>
      <c r="W46" s="1">
        <v>20</v>
      </c>
      <c r="X46" s="2">
        <v>20</v>
      </c>
      <c r="Y46" s="1">
        <v>26</v>
      </c>
      <c r="Z46" s="2">
        <v>26</v>
      </c>
      <c r="AA46" s="21">
        <f>AVERAGE(P46,R46,T46,V46,X46,Z46)</f>
        <v>43</v>
      </c>
      <c r="AB46" s="22">
        <f>SUM(P46,R46,T46,V46,X46,Z46)</f>
        <v>258</v>
      </c>
      <c r="AC46" s="1">
        <f>MAX(P46,R46,T46,V46,X46,Z46)</f>
        <v>73</v>
      </c>
      <c r="AD46" s="23">
        <f>AB46-AC46</f>
        <v>185</v>
      </c>
    </row>
    <row r="47" spans="1:30" ht="12.75">
      <c r="A47">
        <v>43</v>
      </c>
      <c r="B47" t="s">
        <v>238</v>
      </c>
      <c r="C47" t="s">
        <v>239</v>
      </c>
      <c r="D47" t="s">
        <v>171</v>
      </c>
      <c r="E47" t="s">
        <v>29</v>
      </c>
      <c r="F47" s="1">
        <v>1957</v>
      </c>
      <c r="G47" s="1">
        <f>2022-F47</f>
        <v>65</v>
      </c>
      <c r="H47" s="20" t="str">
        <f>IF(F47&lt;1943,"L",IF(F47&lt;1948,"SM",IF(F47&lt;1958,"M",IF(F47&gt;1993,"U",""))))</f>
        <v>M</v>
      </c>
      <c r="I47" s="1" t="s">
        <v>240</v>
      </c>
      <c r="J47" t="s">
        <v>241</v>
      </c>
      <c r="K47" t="s">
        <v>32</v>
      </c>
      <c r="L47" t="s">
        <v>33</v>
      </c>
      <c r="M47" s="1">
        <v>2015</v>
      </c>
      <c r="N47" s="1">
        <v>195</v>
      </c>
      <c r="O47" s="1" t="s">
        <v>130</v>
      </c>
      <c r="P47" s="2">
        <v>73</v>
      </c>
      <c r="Q47" s="1">
        <v>34</v>
      </c>
      <c r="R47" s="2">
        <v>34</v>
      </c>
      <c r="S47" s="1">
        <v>39</v>
      </c>
      <c r="T47" s="3">
        <v>39</v>
      </c>
      <c r="U47" s="1">
        <v>37</v>
      </c>
      <c r="V47" s="2">
        <v>37</v>
      </c>
      <c r="W47" s="1">
        <v>49</v>
      </c>
      <c r="X47" s="2">
        <v>49</v>
      </c>
      <c r="Y47" s="1">
        <v>36</v>
      </c>
      <c r="Z47" s="2">
        <v>36</v>
      </c>
      <c r="AA47" s="21">
        <f>AVERAGE(P47,R47,T47,V47,X47,Z47)</f>
        <v>44.666666666666664</v>
      </c>
      <c r="AB47" s="22">
        <f>SUM(P47,R47,T47,V47,X47,Z47)</f>
        <v>268</v>
      </c>
      <c r="AC47" s="1">
        <f>MAX(P47,R47,T47,V47,X47,Z47)</f>
        <v>73</v>
      </c>
      <c r="AD47" s="23">
        <f>AB47-AC47</f>
        <v>195</v>
      </c>
    </row>
    <row r="48" spans="1:30" ht="12.75">
      <c r="A48">
        <v>44</v>
      </c>
      <c r="B48" t="s">
        <v>242</v>
      </c>
      <c r="C48" t="s">
        <v>99</v>
      </c>
      <c r="D48" t="s">
        <v>243</v>
      </c>
      <c r="E48" t="s">
        <v>37</v>
      </c>
      <c r="F48" s="1">
        <v>1968</v>
      </c>
      <c r="G48" s="1">
        <f>2022-F48</f>
        <v>54</v>
      </c>
      <c r="H48" s="20">
        <f>IF(F48&lt;1943,"L",IF(F48&lt;1948,"SM",IF(F48&lt;1958,"M",IF(F48&gt;1993,"U",""))))</f>
      </c>
      <c r="I48" s="1" t="s">
        <v>244</v>
      </c>
      <c r="J48" t="s">
        <v>245</v>
      </c>
      <c r="K48" t="s">
        <v>40</v>
      </c>
      <c r="L48" t="s">
        <v>136</v>
      </c>
      <c r="M48" s="1">
        <v>2006</v>
      </c>
      <c r="N48" s="1">
        <v>196</v>
      </c>
      <c r="O48" s="1" t="s">
        <v>130</v>
      </c>
      <c r="P48" s="2">
        <v>73</v>
      </c>
      <c r="Q48" s="1">
        <v>36</v>
      </c>
      <c r="R48" s="2">
        <v>36</v>
      </c>
      <c r="S48" s="1">
        <v>47</v>
      </c>
      <c r="T48" s="3">
        <v>47</v>
      </c>
      <c r="U48" s="1">
        <v>36</v>
      </c>
      <c r="V48" s="2">
        <v>36</v>
      </c>
      <c r="W48" s="1">
        <v>34</v>
      </c>
      <c r="X48" s="2">
        <v>34</v>
      </c>
      <c r="Y48" s="1">
        <v>43</v>
      </c>
      <c r="Z48" s="2">
        <v>43</v>
      </c>
      <c r="AA48" s="21">
        <f>AVERAGE(P48,R48,T48,V48,X48,Z48)</f>
        <v>44.833333333333336</v>
      </c>
      <c r="AB48" s="22">
        <f>SUM(P48,R48,T48,V48,X48,Z48)</f>
        <v>269</v>
      </c>
      <c r="AC48" s="1">
        <f>MAX(P48,R48,T48,V48,X48,Z48)</f>
        <v>73</v>
      </c>
      <c r="AD48" s="23">
        <f>AB48-AC48</f>
        <v>196</v>
      </c>
    </row>
    <row r="49" spans="1:30" ht="12.75">
      <c r="A49">
        <v>45</v>
      </c>
      <c r="B49" t="s">
        <v>246</v>
      </c>
      <c r="C49" t="s">
        <v>247</v>
      </c>
      <c r="D49" t="s">
        <v>176</v>
      </c>
      <c r="E49" t="s">
        <v>29</v>
      </c>
      <c r="F49" s="1">
        <v>1960</v>
      </c>
      <c r="G49" s="1">
        <f>2022-F49</f>
        <v>62</v>
      </c>
      <c r="H49" s="20">
        <f>IF(F49&lt;1943,"L",IF(F49&lt;1948,"SM",IF(F49&lt;1958,"M",IF(F49&gt;1993,"U",""))))</f>
      </c>
      <c r="I49" s="1" t="s">
        <v>248</v>
      </c>
      <c r="J49" t="s">
        <v>249</v>
      </c>
      <c r="K49" t="s">
        <v>40</v>
      </c>
      <c r="L49" t="s">
        <v>157</v>
      </c>
      <c r="M49" s="1">
        <v>2004</v>
      </c>
      <c r="N49" s="1">
        <v>200</v>
      </c>
      <c r="O49" s="1">
        <v>42</v>
      </c>
      <c r="P49" s="2">
        <v>42</v>
      </c>
      <c r="Q49" s="1">
        <v>29</v>
      </c>
      <c r="R49" s="2">
        <v>29</v>
      </c>
      <c r="S49" s="1">
        <v>34</v>
      </c>
      <c r="T49" s="3">
        <v>34</v>
      </c>
      <c r="U49" s="1">
        <v>42</v>
      </c>
      <c r="V49" s="2">
        <v>42</v>
      </c>
      <c r="W49" s="1">
        <v>53</v>
      </c>
      <c r="X49" s="2">
        <v>53</v>
      </c>
      <c r="Y49" s="1" t="s">
        <v>46</v>
      </c>
      <c r="Z49" s="2">
        <v>73</v>
      </c>
      <c r="AA49" s="21">
        <f>AVERAGE(P49,R49,T49,V49,X49,Z49)</f>
        <v>45.5</v>
      </c>
      <c r="AB49" s="22">
        <f>SUM(P49,R49,T49,V49,X49,Z49)</f>
        <v>273</v>
      </c>
      <c r="AC49" s="1">
        <f>MAX(P49,R49,T49,V49,X49,Z49)</f>
        <v>73</v>
      </c>
      <c r="AD49" s="23">
        <f>AB49-AC49</f>
        <v>200</v>
      </c>
    </row>
    <row r="50" spans="1:30" ht="12.75">
      <c r="A50">
        <v>46</v>
      </c>
      <c r="B50" t="s">
        <v>250</v>
      </c>
      <c r="C50" t="s">
        <v>251</v>
      </c>
      <c r="D50" t="s">
        <v>36</v>
      </c>
      <c r="E50" t="s">
        <v>37</v>
      </c>
      <c r="F50" s="1">
        <v>1955</v>
      </c>
      <c r="G50" s="1">
        <f>2022-F50</f>
        <v>67</v>
      </c>
      <c r="H50" s="20" t="str">
        <f>IF(F50&lt;1943,"L",IF(F50&lt;1948,"SM",IF(F50&lt;1958,"M",IF(F50&gt;1993,"U",""))))</f>
        <v>M</v>
      </c>
      <c r="I50" s="1" t="s">
        <v>252</v>
      </c>
      <c r="J50" t="s">
        <v>253</v>
      </c>
      <c r="K50" t="s">
        <v>40</v>
      </c>
      <c r="L50" t="s">
        <v>157</v>
      </c>
      <c r="M50" s="1">
        <v>2007</v>
      </c>
      <c r="N50" s="1">
        <v>200</v>
      </c>
      <c r="O50" s="1">
        <v>35</v>
      </c>
      <c r="P50" s="2">
        <v>35</v>
      </c>
      <c r="Q50" s="1">
        <v>54</v>
      </c>
      <c r="R50" s="2">
        <v>54</v>
      </c>
      <c r="S50" s="1">
        <v>49</v>
      </c>
      <c r="T50" s="3">
        <v>49</v>
      </c>
      <c r="U50" s="1">
        <v>43</v>
      </c>
      <c r="V50" s="2">
        <v>43</v>
      </c>
      <c r="W50" s="1">
        <v>33</v>
      </c>
      <c r="X50" s="2">
        <v>33</v>
      </c>
      <c r="Y50" s="1">
        <v>40</v>
      </c>
      <c r="Z50" s="2">
        <v>40</v>
      </c>
      <c r="AA50" s="21">
        <f>AVERAGE(P50,R50,T50,V50,X50,Z50)</f>
        <v>42.333333333333336</v>
      </c>
      <c r="AB50" s="22">
        <f>SUM(P50,R50,T50,V50,X50,Z50)</f>
        <v>254</v>
      </c>
      <c r="AC50" s="1">
        <f>MAX(P50,R50,T50,V50,X50,Z50)</f>
        <v>54</v>
      </c>
      <c r="AD50" s="23">
        <f>AB50-AC50</f>
        <v>200</v>
      </c>
    </row>
    <row r="51" spans="1:30" ht="12.75">
      <c r="A51">
        <v>47</v>
      </c>
      <c r="B51" t="s">
        <v>254</v>
      </c>
      <c r="C51" t="s">
        <v>255</v>
      </c>
      <c r="D51" t="s">
        <v>154</v>
      </c>
      <c r="E51" t="s">
        <v>37</v>
      </c>
      <c r="F51" s="1">
        <v>1945</v>
      </c>
      <c r="G51" s="1">
        <f>2022-F51</f>
        <v>77</v>
      </c>
      <c r="H51" s="20" t="str">
        <f>IF(F51&lt;1943,"L",IF(F51&lt;1948,"SM",IF(F51&lt;1958,"M",IF(F51&gt;1993,"U",""))))</f>
        <v>SM</v>
      </c>
      <c r="I51" s="1" t="s">
        <v>256</v>
      </c>
      <c r="J51" t="s">
        <v>257</v>
      </c>
      <c r="K51" t="s">
        <v>32</v>
      </c>
      <c r="L51" t="s">
        <v>33</v>
      </c>
      <c r="M51" s="1">
        <v>2015</v>
      </c>
      <c r="N51" s="1">
        <v>207</v>
      </c>
      <c r="O51" s="1">
        <v>30</v>
      </c>
      <c r="P51" s="2">
        <v>30</v>
      </c>
      <c r="Q51" s="1">
        <v>44</v>
      </c>
      <c r="R51" s="2">
        <v>44</v>
      </c>
      <c r="S51" s="1">
        <v>45</v>
      </c>
      <c r="T51" s="3">
        <v>45</v>
      </c>
      <c r="U51" s="1">
        <v>44</v>
      </c>
      <c r="V51" s="2">
        <v>44</v>
      </c>
      <c r="W51" s="1">
        <v>44</v>
      </c>
      <c r="X51" s="2">
        <v>44</v>
      </c>
      <c r="Y51" s="1" t="s">
        <v>130</v>
      </c>
      <c r="Z51" s="2">
        <v>73</v>
      </c>
      <c r="AA51" s="21">
        <f>AVERAGE(P51,R51,T51,V51,X51,Z51)</f>
        <v>46.666666666666664</v>
      </c>
      <c r="AB51" s="22">
        <f>SUM(P51,R51,T51,V51,X51,Z51)</f>
        <v>280</v>
      </c>
      <c r="AC51" s="1">
        <f>MAX(P51,R51,T51,V51,X51,Z51)</f>
        <v>73</v>
      </c>
      <c r="AD51" s="23">
        <f>AB51-AC51</f>
        <v>207</v>
      </c>
    </row>
    <row r="52" spans="1:30" ht="12.75">
      <c r="A52">
        <v>48</v>
      </c>
      <c r="B52" t="s">
        <v>258</v>
      </c>
      <c r="C52" t="s">
        <v>259</v>
      </c>
      <c r="D52" t="s">
        <v>260</v>
      </c>
      <c r="E52" t="s">
        <v>95</v>
      </c>
      <c r="F52" s="1">
        <v>1968</v>
      </c>
      <c r="G52" s="1">
        <f>2022-F52</f>
        <v>54</v>
      </c>
      <c r="H52" s="20">
        <f>IF(F52&lt;1943,"L",IF(F52&lt;1948,"SM",IF(F52&lt;1958,"M",IF(F52&gt;1993,"U",""))))</f>
      </c>
      <c r="I52" s="1" t="s">
        <v>261</v>
      </c>
      <c r="J52" t="s">
        <v>262</v>
      </c>
      <c r="K52" t="s">
        <v>32</v>
      </c>
      <c r="L52" t="s">
        <v>33</v>
      </c>
      <c r="M52" s="1">
        <v>2015</v>
      </c>
      <c r="N52" s="1">
        <v>210</v>
      </c>
      <c r="O52" s="1">
        <v>17</v>
      </c>
      <c r="P52" s="2">
        <v>17</v>
      </c>
      <c r="Q52" s="1">
        <v>40</v>
      </c>
      <c r="R52" s="2">
        <v>40</v>
      </c>
      <c r="S52" s="1">
        <v>38</v>
      </c>
      <c r="T52" s="3">
        <v>38</v>
      </c>
      <c r="U52" s="1" t="s">
        <v>76</v>
      </c>
      <c r="V52" s="2">
        <v>73</v>
      </c>
      <c r="W52" s="1">
        <v>42</v>
      </c>
      <c r="X52" s="2">
        <v>42</v>
      </c>
      <c r="Y52" s="1" t="s">
        <v>46</v>
      </c>
      <c r="Z52" s="2">
        <v>73</v>
      </c>
      <c r="AA52" s="21">
        <f>AVERAGE(P52,R52,T52,V52,X52,Z52)</f>
        <v>47.166666666666664</v>
      </c>
      <c r="AB52" s="22">
        <f>SUM(P52,R52,T52,V52,X52,Z52)</f>
        <v>283</v>
      </c>
      <c r="AC52" s="1">
        <f>MAX(P52,R52,T52,V52,X52,Z52)</f>
        <v>73</v>
      </c>
      <c r="AD52" s="23">
        <f>AB52-AC52</f>
        <v>210</v>
      </c>
    </row>
    <row r="53" spans="1:30" ht="12.75">
      <c r="A53">
        <v>49</v>
      </c>
      <c r="B53" t="s">
        <v>263</v>
      </c>
      <c r="C53" t="s">
        <v>264</v>
      </c>
      <c r="D53" t="s">
        <v>265</v>
      </c>
      <c r="E53" t="s">
        <v>37</v>
      </c>
      <c r="F53" s="25">
        <v>1955</v>
      </c>
      <c r="G53" s="25">
        <f>2022-F53</f>
        <v>67</v>
      </c>
      <c r="H53" s="20" t="str">
        <f>IF(F53&lt;1943,"L",IF(F53&lt;1948,"SM",IF(F53&lt;1958,"M",IF(F53&gt;1993,"U",""))))</f>
        <v>M</v>
      </c>
      <c r="I53" s="1" t="s">
        <v>266</v>
      </c>
      <c r="J53" t="s">
        <v>267</v>
      </c>
      <c r="K53" t="s">
        <v>32</v>
      </c>
      <c r="L53" t="s">
        <v>33</v>
      </c>
      <c r="M53" s="1">
        <v>2017</v>
      </c>
      <c r="N53" s="1">
        <v>211</v>
      </c>
      <c r="O53" s="1">
        <v>22</v>
      </c>
      <c r="P53" s="2">
        <v>22</v>
      </c>
      <c r="Q53" s="1">
        <v>51</v>
      </c>
      <c r="R53" s="2">
        <v>51</v>
      </c>
      <c r="S53" s="1">
        <v>58</v>
      </c>
      <c r="T53" s="3">
        <v>58</v>
      </c>
      <c r="U53" s="1">
        <v>52</v>
      </c>
      <c r="V53" s="2">
        <v>52</v>
      </c>
      <c r="W53" s="1">
        <v>41</v>
      </c>
      <c r="X53" s="2">
        <v>41</v>
      </c>
      <c r="Y53" s="1">
        <v>45</v>
      </c>
      <c r="Z53" s="2">
        <v>45</v>
      </c>
      <c r="AA53" s="21">
        <f>AVERAGE(P53,R53,T53,V53,X53,Z53)</f>
        <v>44.833333333333336</v>
      </c>
      <c r="AB53" s="22">
        <f>SUM(P53,R53,T53,V53,X53,Z53)</f>
        <v>269</v>
      </c>
      <c r="AC53" s="1">
        <f>MAX(P53,R53,T53,V53,X53,Z53)</f>
        <v>58</v>
      </c>
      <c r="AD53" s="23">
        <f>AB53-AC53</f>
        <v>211</v>
      </c>
    </row>
    <row r="54" spans="1:30" ht="12.75">
      <c r="A54">
        <v>50</v>
      </c>
      <c r="B54" t="s">
        <v>268</v>
      </c>
      <c r="C54" t="s">
        <v>269</v>
      </c>
      <c r="D54" t="s">
        <v>270</v>
      </c>
      <c r="E54" t="s">
        <v>111</v>
      </c>
      <c r="F54" s="1">
        <v>1960</v>
      </c>
      <c r="G54" s="1">
        <f>2022-F54</f>
        <v>62</v>
      </c>
      <c r="H54" s="20">
        <f>IF(F54&lt;1943,"L",IF(F54&lt;1948,"SM",IF(F54&lt;1958,"M",IF(F54&gt;1993,"U",""))))</f>
      </c>
      <c r="I54" s="1" t="s">
        <v>271</v>
      </c>
      <c r="J54" t="s">
        <v>272</v>
      </c>
      <c r="K54" t="s">
        <v>32</v>
      </c>
      <c r="L54" t="s">
        <v>33</v>
      </c>
      <c r="M54" s="1">
        <v>2006</v>
      </c>
      <c r="N54" s="1">
        <v>216</v>
      </c>
      <c r="O54" s="1" t="s">
        <v>130</v>
      </c>
      <c r="P54" s="2">
        <v>73</v>
      </c>
      <c r="Q54" s="1">
        <v>39</v>
      </c>
      <c r="R54" s="2">
        <v>39</v>
      </c>
      <c r="S54" s="1">
        <v>7</v>
      </c>
      <c r="T54" s="3">
        <v>7</v>
      </c>
      <c r="U54" s="1">
        <v>48</v>
      </c>
      <c r="V54" s="2">
        <v>48</v>
      </c>
      <c r="W54" s="1" t="s">
        <v>130</v>
      </c>
      <c r="X54" s="2" t="s">
        <v>130</v>
      </c>
      <c r="Y54" s="1">
        <v>49</v>
      </c>
      <c r="Z54" s="2">
        <v>49</v>
      </c>
      <c r="AA54" s="21">
        <f>AVERAGE(P54,R54,T54,V54,X54,Z54)</f>
        <v>43.2</v>
      </c>
      <c r="AB54" s="22">
        <f>SUM(P54,R54,T54,V54,X54,Z54)</f>
        <v>216</v>
      </c>
      <c r="AC54" s="1">
        <f>MAX(P54,R54,T54,V54,X54,Z54)</f>
        <v>73</v>
      </c>
      <c r="AD54" s="23">
        <f>AB54-AC54</f>
        <v>143</v>
      </c>
    </row>
    <row r="55" spans="1:30" ht="12.75">
      <c r="A55">
        <v>51</v>
      </c>
      <c r="B55" t="s">
        <v>53</v>
      </c>
      <c r="C55" t="s">
        <v>115</v>
      </c>
      <c r="D55" t="s">
        <v>159</v>
      </c>
      <c r="E55" t="s">
        <v>127</v>
      </c>
      <c r="F55" s="1">
        <v>1946</v>
      </c>
      <c r="G55" s="1">
        <f>2022-F55</f>
        <v>76</v>
      </c>
      <c r="H55" s="20" t="str">
        <f>IF(F55&lt;1943,"L",IF(F55&lt;1948,"SM",IF(F55&lt;1958,"M",IF(F55&gt;1993,"U",""))))</f>
        <v>SM</v>
      </c>
      <c r="I55" s="1" t="s">
        <v>273</v>
      </c>
      <c r="J55" t="s">
        <v>274</v>
      </c>
      <c r="K55" t="s">
        <v>32</v>
      </c>
      <c r="L55" t="s">
        <v>33</v>
      </c>
      <c r="M55" s="1">
        <v>2008</v>
      </c>
      <c r="N55" s="1">
        <v>220</v>
      </c>
      <c r="O55" s="1" t="s">
        <v>130</v>
      </c>
      <c r="P55" s="2">
        <v>73</v>
      </c>
      <c r="Q55" s="1">
        <v>58</v>
      </c>
      <c r="R55" s="2">
        <v>58</v>
      </c>
      <c r="S55" s="1">
        <v>41</v>
      </c>
      <c r="T55" s="3">
        <v>41</v>
      </c>
      <c r="U55" s="1">
        <v>40</v>
      </c>
      <c r="V55" s="2">
        <v>40</v>
      </c>
      <c r="W55" s="1">
        <v>39</v>
      </c>
      <c r="X55" s="2">
        <v>39</v>
      </c>
      <c r="Y55" s="1">
        <v>42</v>
      </c>
      <c r="Z55" s="2">
        <v>42</v>
      </c>
      <c r="AA55" s="21">
        <f>AVERAGE(P55,R55,T55,V55,X55,Z55)</f>
        <v>48.833333333333336</v>
      </c>
      <c r="AB55" s="22">
        <f>SUM(P55,R55,T55,V55,X55,Z55)</f>
        <v>293</v>
      </c>
      <c r="AC55" s="1">
        <f>MAX(P55,R55,T55,V55,X55,Z55)</f>
        <v>73</v>
      </c>
      <c r="AD55" s="23">
        <f>AB55-AC55</f>
        <v>220</v>
      </c>
    </row>
    <row r="56" spans="1:30" ht="12.75">
      <c r="A56">
        <v>52</v>
      </c>
      <c r="B56" t="s">
        <v>275</v>
      </c>
      <c r="C56" t="s">
        <v>276</v>
      </c>
      <c r="D56" t="s">
        <v>277</v>
      </c>
      <c r="E56" t="s">
        <v>117</v>
      </c>
      <c r="F56" s="1">
        <v>1941</v>
      </c>
      <c r="G56" s="1">
        <f>2022-F56</f>
        <v>81</v>
      </c>
      <c r="H56" s="20" t="str">
        <f>IF(F56&lt;1943,"L",IF(F56&lt;1948,"SM",IF(F56&lt;1958,"M",IF(F56&gt;1993,"U",""))))</f>
        <v>L</v>
      </c>
      <c r="I56" s="1" t="s">
        <v>278</v>
      </c>
      <c r="J56" t="s">
        <v>279</v>
      </c>
      <c r="K56" t="s">
        <v>52</v>
      </c>
      <c r="L56" t="s">
        <v>280</v>
      </c>
      <c r="M56" s="1">
        <v>1952</v>
      </c>
      <c r="N56" s="1">
        <v>242</v>
      </c>
      <c r="O56" s="1">
        <v>39</v>
      </c>
      <c r="P56" s="2">
        <v>39</v>
      </c>
      <c r="Q56" s="1">
        <v>57</v>
      </c>
      <c r="R56" s="2">
        <v>57</v>
      </c>
      <c r="S56" s="1">
        <v>63</v>
      </c>
      <c r="T56" s="3">
        <v>63</v>
      </c>
      <c r="U56" s="1">
        <v>50</v>
      </c>
      <c r="V56" s="2">
        <v>50</v>
      </c>
      <c r="W56" s="1">
        <v>55</v>
      </c>
      <c r="X56" s="2">
        <v>55</v>
      </c>
      <c r="Y56" s="1">
        <v>41</v>
      </c>
      <c r="Z56" s="2">
        <v>41</v>
      </c>
      <c r="AA56" s="21">
        <f>AVERAGE(P56,R56,T56,V56,X56,Z56)</f>
        <v>50.833333333333336</v>
      </c>
      <c r="AB56" s="22">
        <f>SUM(P56,R56,T56,V56,X56,Z56)</f>
        <v>305</v>
      </c>
      <c r="AC56" s="1">
        <f>MAX(P56,R56,T56,V56,X56,Z56)</f>
        <v>63</v>
      </c>
      <c r="AD56" s="23">
        <f>AB56-AC56</f>
        <v>242</v>
      </c>
    </row>
    <row r="57" spans="1:30" ht="12.75">
      <c r="A57">
        <v>53</v>
      </c>
      <c r="B57" t="s">
        <v>281</v>
      </c>
      <c r="C57" t="s">
        <v>276</v>
      </c>
      <c r="D57" t="s">
        <v>104</v>
      </c>
      <c r="E57" t="s">
        <v>29</v>
      </c>
      <c r="F57" s="1">
        <v>1951</v>
      </c>
      <c r="G57" s="1">
        <f>2022-F57</f>
        <v>71</v>
      </c>
      <c r="H57" s="20" t="str">
        <f>IF(F57&lt;1943,"L",IF(F57&lt;1948,"SM",IF(F57&lt;1958,"M",IF(F57&gt;1993,"U",""))))</f>
        <v>M</v>
      </c>
      <c r="I57" s="1" t="s">
        <v>282</v>
      </c>
      <c r="J57" t="s">
        <v>283</v>
      </c>
      <c r="K57" t="s">
        <v>52</v>
      </c>
      <c r="L57" t="s">
        <v>53</v>
      </c>
      <c r="M57" s="1">
        <v>1991</v>
      </c>
      <c r="N57">
        <v>244</v>
      </c>
      <c r="O57" s="1" t="s">
        <v>130</v>
      </c>
      <c r="P57" s="2">
        <v>73</v>
      </c>
      <c r="Q57" s="1">
        <v>27</v>
      </c>
      <c r="R57" s="2">
        <v>27</v>
      </c>
      <c r="S57" s="1">
        <v>51</v>
      </c>
      <c r="T57" s="3">
        <v>51</v>
      </c>
      <c r="U57" s="1">
        <v>46</v>
      </c>
      <c r="V57" s="2">
        <v>46</v>
      </c>
      <c r="W57" s="1">
        <v>47</v>
      </c>
      <c r="X57" s="2">
        <v>47</v>
      </c>
      <c r="Y57" s="1" t="s">
        <v>46</v>
      </c>
      <c r="Z57" s="2">
        <v>73</v>
      </c>
      <c r="AA57" s="21">
        <f>AVERAGE(P57,R57,T57,V57,X57,Z57)</f>
        <v>52.833333333333336</v>
      </c>
      <c r="AB57" s="22">
        <f>SUM(P57,R57,T57,V57,X57,Z57)</f>
        <v>317</v>
      </c>
      <c r="AC57" s="1">
        <f>MAX(P57,R57,T57,V57,X57,Z57)</f>
        <v>73</v>
      </c>
      <c r="AD57" s="23">
        <f>AB57-AC57</f>
        <v>244</v>
      </c>
    </row>
    <row r="58" spans="1:30" ht="12.75">
      <c r="A58">
        <v>54</v>
      </c>
      <c r="B58" t="s">
        <v>77</v>
      </c>
      <c r="C58" t="s">
        <v>259</v>
      </c>
      <c r="D58" t="s">
        <v>171</v>
      </c>
      <c r="E58" t="s">
        <v>29</v>
      </c>
      <c r="F58" s="1">
        <v>1970</v>
      </c>
      <c r="G58" s="1">
        <f>2022-F58</f>
        <v>52</v>
      </c>
      <c r="H58" s="20">
        <f>IF(F58&lt;1943,"L",IF(F58&lt;1948,"SM",IF(F58&lt;1958,"M",IF(F58&gt;1993,"U",""))))</f>
      </c>
      <c r="I58" s="1" t="s">
        <v>284</v>
      </c>
      <c r="J58" t="s">
        <v>285</v>
      </c>
      <c r="K58" t="s">
        <v>52</v>
      </c>
      <c r="L58" t="s">
        <v>183</v>
      </c>
      <c r="M58" s="1">
        <v>2012</v>
      </c>
      <c r="N58" s="1">
        <v>248</v>
      </c>
      <c r="O58" s="1" t="s">
        <v>130</v>
      </c>
      <c r="P58" s="2">
        <v>73</v>
      </c>
      <c r="Q58" s="1">
        <v>50</v>
      </c>
      <c r="R58" s="2">
        <v>50</v>
      </c>
      <c r="S58" s="1">
        <v>60</v>
      </c>
      <c r="T58" s="3">
        <v>60</v>
      </c>
      <c r="U58" s="1">
        <v>41</v>
      </c>
      <c r="V58" s="2">
        <v>41</v>
      </c>
      <c r="W58" s="1">
        <v>50</v>
      </c>
      <c r="X58" s="2">
        <v>50</v>
      </c>
      <c r="Y58" s="1">
        <v>47</v>
      </c>
      <c r="Z58" s="2">
        <v>47</v>
      </c>
      <c r="AA58" s="21">
        <f>AVERAGE(P58,R58,T58,V58,X58,Z58)</f>
        <v>53.5</v>
      </c>
      <c r="AB58" s="22">
        <f>SUM(P58,R58,T58,V58,X58,Z58)</f>
        <v>321</v>
      </c>
      <c r="AC58" s="1">
        <f>MAX(P58,R58,T58,V58,X58,Z58)</f>
        <v>73</v>
      </c>
      <c r="AD58" s="23">
        <f>AB58-AC58</f>
        <v>248</v>
      </c>
    </row>
    <row r="59" spans="1:30" ht="12.75">
      <c r="A59">
        <v>55</v>
      </c>
      <c r="B59" t="s">
        <v>286</v>
      </c>
      <c r="C59" t="s">
        <v>93</v>
      </c>
      <c r="D59" t="s">
        <v>231</v>
      </c>
      <c r="E59" t="s">
        <v>111</v>
      </c>
      <c r="F59" s="1">
        <v>1949</v>
      </c>
      <c r="G59" s="1">
        <f>2022-F59</f>
        <v>73</v>
      </c>
      <c r="H59" s="20" t="str">
        <f>IF(F59&lt;1943,"L",IF(F59&lt;1948,"SM",IF(F59&lt;1958,"M",IF(F59&gt;1993,"U",""))))</f>
        <v>M</v>
      </c>
      <c r="I59" s="1" t="s">
        <v>287</v>
      </c>
      <c r="J59" t="s">
        <v>288</v>
      </c>
      <c r="K59" t="s">
        <v>32</v>
      </c>
      <c r="L59" t="s">
        <v>33</v>
      </c>
      <c r="M59" s="1">
        <v>2019</v>
      </c>
      <c r="N59" s="1">
        <v>255</v>
      </c>
      <c r="O59" s="1">
        <v>26</v>
      </c>
      <c r="P59" s="2">
        <v>26</v>
      </c>
      <c r="Q59" s="1">
        <v>55</v>
      </c>
      <c r="R59" s="2">
        <v>55</v>
      </c>
      <c r="S59" s="1">
        <v>50</v>
      </c>
      <c r="T59" s="3">
        <v>50</v>
      </c>
      <c r="U59" s="1" t="s">
        <v>46</v>
      </c>
      <c r="V59" s="2">
        <v>73</v>
      </c>
      <c r="W59" s="1">
        <v>51</v>
      </c>
      <c r="X59" s="2">
        <v>51</v>
      </c>
      <c r="Y59" s="1" t="s">
        <v>130</v>
      </c>
      <c r="Z59" s="2">
        <v>73</v>
      </c>
      <c r="AA59" s="21">
        <f>AVERAGE(P59,R59,T59,V59,X59,Z59)</f>
        <v>54.666666666666664</v>
      </c>
      <c r="AB59" s="22">
        <f>SUM(P59,R59,T59,V59,X59,Z59)</f>
        <v>328</v>
      </c>
      <c r="AC59" s="1">
        <f>MAX(P59,R59,T59,V59,X59,Z59)</f>
        <v>73</v>
      </c>
      <c r="AD59" s="23">
        <f>AB59-AC59</f>
        <v>255</v>
      </c>
    </row>
    <row r="60" spans="1:30" ht="12.75">
      <c r="A60">
        <v>56</v>
      </c>
      <c r="B60" t="s">
        <v>289</v>
      </c>
      <c r="C60" t="s">
        <v>290</v>
      </c>
      <c r="D60" t="s">
        <v>291</v>
      </c>
      <c r="E60" t="s">
        <v>292</v>
      </c>
      <c r="F60" s="26">
        <v>1952</v>
      </c>
      <c r="G60" s="26">
        <f>2022-F60</f>
        <v>70</v>
      </c>
      <c r="H60" s="27" t="str">
        <f>IF(F60&lt;1943,"L",IF(F60&lt;1948,"SM",IF(F60&lt;1958,"M",IF(F60&gt;1993,"U",""))))</f>
        <v>M</v>
      </c>
      <c r="I60" s="1" t="s">
        <v>293</v>
      </c>
      <c r="J60" t="s">
        <v>294</v>
      </c>
      <c r="K60" t="s">
        <v>32</v>
      </c>
      <c r="L60" t="s">
        <v>33</v>
      </c>
      <c r="M60" s="1">
        <v>2018</v>
      </c>
      <c r="N60" s="1">
        <v>264</v>
      </c>
      <c r="O60" s="1" t="s">
        <v>130</v>
      </c>
      <c r="P60" s="2">
        <v>73</v>
      </c>
      <c r="Q60" s="1">
        <v>61</v>
      </c>
      <c r="R60" s="2">
        <v>61</v>
      </c>
      <c r="S60" s="1">
        <v>62</v>
      </c>
      <c r="T60" s="3">
        <v>62</v>
      </c>
      <c r="U60" s="1">
        <v>45</v>
      </c>
      <c r="V60" s="2">
        <v>45</v>
      </c>
      <c r="W60" s="1">
        <v>48</v>
      </c>
      <c r="X60" s="2">
        <v>48</v>
      </c>
      <c r="Y60" s="1">
        <v>48</v>
      </c>
      <c r="Z60" s="2">
        <v>48</v>
      </c>
      <c r="AA60" s="21">
        <f>AVERAGE(P60,R60,T60,V60,X60,Z60)</f>
        <v>56.166666666666664</v>
      </c>
      <c r="AB60" s="22">
        <f>SUM(P60,R60,T60,V60,X60,Z60)</f>
        <v>337</v>
      </c>
      <c r="AC60" s="1">
        <f>MAX(P60,R60,T60,V60,X60,Z60)</f>
        <v>73</v>
      </c>
      <c r="AD60" s="23">
        <f>AB60-AC60</f>
        <v>264</v>
      </c>
    </row>
    <row r="61" spans="1:30" ht="12.75">
      <c r="A61">
        <v>57</v>
      </c>
      <c r="B61" t="s">
        <v>295</v>
      </c>
      <c r="C61" t="s">
        <v>296</v>
      </c>
      <c r="D61" t="s">
        <v>260</v>
      </c>
      <c r="E61" t="s">
        <v>95</v>
      </c>
      <c r="F61" s="1">
        <v>1971</v>
      </c>
      <c r="G61" s="1">
        <f>2022-F61</f>
        <v>51</v>
      </c>
      <c r="H61" s="20">
        <f>IF(F61&lt;1943,"L",IF(F61&lt;1948,"SM",IF(F61&lt;1958,"M",IF(F61&gt;1993,"U",""))))</f>
      </c>
      <c r="I61" s="1" t="s">
        <v>297</v>
      </c>
      <c r="J61" t="s">
        <v>298</v>
      </c>
      <c r="K61" t="s">
        <v>32</v>
      </c>
      <c r="L61" t="s">
        <v>33</v>
      </c>
      <c r="M61" s="1">
        <v>2013</v>
      </c>
      <c r="N61" s="1">
        <v>272</v>
      </c>
      <c r="O61" s="1">
        <v>33</v>
      </c>
      <c r="P61" s="2">
        <v>33</v>
      </c>
      <c r="Q61" s="1">
        <v>35</v>
      </c>
      <c r="R61" s="2">
        <v>35</v>
      </c>
      <c r="S61" s="1">
        <v>58</v>
      </c>
      <c r="T61" s="3">
        <v>58</v>
      </c>
      <c r="U61" s="1" t="s">
        <v>46</v>
      </c>
      <c r="V61" s="2">
        <v>73</v>
      </c>
      <c r="W61" s="1" t="s">
        <v>130</v>
      </c>
      <c r="X61" s="2">
        <v>73</v>
      </c>
      <c r="Y61" s="1" t="s">
        <v>46</v>
      </c>
      <c r="Z61" s="2">
        <v>73</v>
      </c>
      <c r="AA61" s="21">
        <f>AVERAGE(P61,R61,T61,V61,X61,Z61)</f>
        <v>57.5</v>
      </c>
      <c r="AB61" s="22">
        <f>SUM(P61,R61,T61,V61,X61,Z61)</f>
        <v>345</v>
      </c>
      <c r="AC61" s="1">
        <f>MAX(P61,R61,T61,V61,X61,Z61)</f>
        <v>73</v>
      </c>
      <c r="AD61" s="23">
        <f>AB61-AC61</f>
        <v>272</v>
      </c>
    </row>
    <row r="62" spans="1:30" ht="12.75">
      <c r="A62">
        <v>58</v>
      </c>
      <c r="B62" t="s">
        <v>299</v>
      </c>
      <c r="C62" t="s">
        <v>296</v>
      </c>
      <c r="D62" t="s">
        <v>260</v>
      </c>
      <c r="E62" t="s">
        <v>95</v>
      </c>
      <c r="F62" s="26">
        <v>1970</v>
      </c>
      <c r="G62" s="26">
        <f>2022-F62</f>
        <v>52</v>
      </c>
      <c r="H62" s="27">
        <f>IF(F62&lt;1943,"L",IF(F62&lt;1948,"SM",IF(F62&lt;1958,"M",IF(F62&gt;1993,"U",""))))</f>
      </c>
      <c r="I62" s="1" t="s">
        <v>300</v>
      </c>
      <c r="J62" t="s">
        <v>301</v>
      </c>
      <c r="K62" t="s">
        <v>40</v>
      </c>
      <c r="L62" t="s">
        <v>136</v>
      </c>
      <c r="M62" s="1">
        <v>1988</v>
      </c>
      <c r="N62" s="1">
        <v>276</v>
      </c>
      <c r="O62" s="1" t="s">
        <v>130</v>
      </c>
      <c r="P62" s="2">
        <v>73</v>
      </c>
      <c r="Q62" s="1">
        <v>63</v>
      </c>
      <c r="R62" s="2">
        <v>63</v>
      </c>
      <c r="S62" s="1">
        <v>64</v>
      </c>
      <c r="T62" s="3">
        <v>64</v>
      </c>
      <c r="U62" s="1">
        <v>49</v>
      </c>
      <c r="V62" s="2">
        <v>49</v>
      </c>
      <c r="W62" s="1">
        <v>56</v>
      </c>
      <c r="X62" s="2">
        <v>56</v>
      </c>
      <c r="Y62" s="1">
        <v>44</v>
      </c>
      <c r="Z62" s="2">
        <v>44</v>
      </c>
      <c r="AA62" s="21">
        <f>AVERAGE(P62,R62,T62,V62,X62,Z62)</f>
        <v>58.166666666666664</v>
      </c>
      <c r="AB62" s="22">
        <f>SUM(P62,R62,T62,V62,X62,Z62)</f>
        <v>349</v>
      </c>
      <c r="AC62" s="1">
        <f>MAX(P62,R62,T62,V62,X62,Z62)</f>
        <v>73</v>
      </c>
      <c r="AD62" s="23">
        <f>AB62-AC62</f>
        <v>276</v>
      </c>
    </row>
    <row r="63" spans="1:30" ht="12.75">
      <c r="A63">
        <v>59</v>
      </c>
      <c r="B63" t="s">
        <v>302</v>
      </c>
      <c r="C63" t="s">
        <v>303</v>
      </c>
      <c r="D63" t="s">
        <v>144</v>
      </c>
      <c r="E63" t="s">
        <v>145</v>
      </c>
      <c r="F63" s="1">
        <v>1956</v>
      </c>
      <c r="G63" s="1">
        <f>2022-F63</f>
        <v>66</v>
      </c>
      <c r="H63" s="20" t="str">
        <f>IF(F63&lt;1943,"L",IF(F63&lt;1948,"SM",IF(F63&lt;1958,"M",IF(F63&gt;1993,"U",""))))</f>
        <v>M</v>
      </c>
      <c r="I63" s="1" t="s">
        <v>304</v>
      </c>
      <c r="J63" t="s">
        <v>305</v>
      </c>
      <c r="K63" t="s">
        <v>40</v>
      </c>
      <c r="L63" t="s">
        <v>136</v>
      </c>
      <c r="M63" s="1">
        <v>2000</v>
      </c>
      <c r="N63" s="1">
        <v>282</v>
      </c>
      <c r="O63" s="1" t="s">
        <v>130</v>
      </c>
      <c r="P63" s="2">
        <v>73</v>
      </c>
      <c r="Q63" s="1">
        <v>37</v>
      </c>
      <c r="R63" s="2">
        <v>37</v>
      </c>
      <c r="S63" s="1">
        <v>26</v>
      </c>
      <c r="T63" s="3">
        <v>26</v>
      </c>
      <c r="U63" s="1" t="s">
        <v>46</v>
      </c>
      <c r="V63" s="2">
        <v>73</v>
      </c>
      <c r="W63" s="1" t="s">
        <v>46</v>
      </c>
      <c r="X63" s="2">
        <v>73</v>
      </c>
      <c r="Y63" s="1" t="s">
        <v>46</v>
      </c>
      <c r="Z63" s="2">
        <v>73</v>
      </c>
      <c r="AA63" s="21">
        <f>AVERAGE(P63,R63,T63,V63,X63,Z63)</f>
        <v>59.166666666666664</v>
      </c>
      <c r="AB63" s="22">
        <f>SUM(P63,R63,T63,V63,X63,Z63)</f>
        <v>355</v>
      </c>
      <c r="AC63" s="1">
        <f>MAX(P63,R63,T63,V63,X63,Z63)</f>
        <v>73</v>
      </c>
      <c r="AD63" s="23">
        <f>AB63-AC63</f>
        <v>282</v>
      </c>
    </row>
    <row r="64" spans="1:30" ht="12.75">
      <c r="A64">
        <v>60</v>
      </c>
      <c r="B64" t="s">
        <v>306</v>
      </c>
      <c r="C64" t="s">
        <v>307</v>
      </c>
      <c r="D64" t="s">
        <v>308</v>
      </c>
      <c r="E64" t="s">
        <v>37</v>
      </c>
      <c r="F64" s="1">
        <v>1955</v>
      </c>
      <c r="G64" s="1">
        <f>2022-F64</f>
        <v>67</v>
      </c>
      <c r="H64" s="20" t="str">
        <f>IF(F64&lt;1943,"L",IF(F64&lt;1948,"SM",IF(F64&lt;1958,"M",IF(F64&gt;1993,"U",""))))</f>
        <v>M</v>
      </c>
      <c r="I64" s="1" t="s">
        <v>309</v>
      </c>
      <c r="J64" t="s">
        <v>310</v>
      </c>
      <c r="K64" t="s">
        <v>40</v>
      </c>
      <c r="L64" t="s">
        <v>45</v>
      </c>
      <c r="M64" s="1">
        <v>2002</v>
      </c>
      <c r="N64" s="1">
        <v>285</v>
      </c>
      <c r="O64" s="1">
        <v>44</v>
      </c>
      <c r="P64" s="2">
        <v>44</v>
      </c>
      <c r="Q64" s="1">
        <v>62</v>
      </c>
      <c r="R64" s="2">
        <v>62</v>
      </c>
      <c r="S64" s="1">
        <v>53</v>
      </c>
      <c r="T64" s="3">
        <v>53</v>
      </c>
      <c r="U64" s="1">
        <v>53</v>
      </c>
      <c r="V64" s="2">
        <v>53</v>
      </c>
      <c r="W64" s="1" t="s">
        <v>130</v>
      </c>
      <c r="X64" s="2">
        <v>73</v>
      </c>
      <c r="Y64" s="1" t="s">
        <v>46</v>
      </c>
      <c r="Z64" s="2">
        <v>73</v>
      </c>
      <c r="AA64" s="21">
        <f>AVERAGE(P64,R64,T64,V64,X64,Z64)</f>
        <v>59.666666666666664</v>
      </c>
      <c r="AB64" s="22">
        <f>SUM(P64,R64,T64,V64,X64,Z64)</f>
        <v>358</v>
      </c>
      <c r="AC64" s="1">
        <f>MAX(P64,R64,T64,V64,X64,Z64)</f>
        <v>73</v>
      </c>
      <c r="AD64" s="23">
        <f>AB64-AC64</f>
        <v>285</v>
      </c>
    </row>
    <row r="65" spans="1:30" ht="12.75">
      <c r="A65">
        <v>61</v>
      </c>
      <c r="B65" t="s">
        <v>311</v>
      </c>
      <c r="C65" t="s">
        <v>93</v>
      </c>
      <c r="D65" t="s">
        <v>312</v>
      </c>
      <c r="E65" t="s">
        <v>57</v>
      </c>
      <c r="F65" s="1">
        <v>1957</v>
      </c>
      <c r="G65" s="1">
        <f>2022-F65</f>
        <v>65</v>
      </c>
      <c r="H65" s="20" t="str">
        <f>IF(F65&lt;1943,"L",IF(F65&lt;1948,"SM",IF(F65&lt;1958,"M",IF(F65&gt;1993,"U",""))))</f>
        <v>M</v>
      </c>
      <c r="I65" s="1" t="s">
        <v>313</v>
      </c>
      <c r="J65" t="s">
        <v>314</v>
      </c>
      <c r="K65" t="s">
        <v>32</v>
      </c>
      <c r="L65" t="s">
        <v>33</v>
      </c>
      <c r="M65" s="1">
        <v>2021</v>
      </c>
      <c r="N65" s="1">
        <v>293</v>
      </c>
      <c r="O65" s="1" t="s">
        <v>130</v>
      </c>
      <c r="P65" s="2">
        <v>73</v>
      </c>
      <c r="Q65" s="1">
        <v>46</v>
      </c>
      <c r="R65" s="2">
        <v>46</v>
      </c>
      <c r="S65" s="1">
        <v>54</v>
      </c>
      <c r="T65" s="3">
        <v>54</v>
      </c>
      <c r="U65" s="1">
        <v>47</v>
      </c>
      <c r="V65" s="2">
        <v>47</v>
      </c>
      <c r="W65" s="1" t="s">
        <v>130</v>
      </c>
      <c r="X65" s="2">
        <v>73</v>
      </c>
      <c r="Y65" s="1" t="s">
        <v>46</v>
      </c>
      <c r="Z65" s="2">
        <v>73</v>
      </c>
      <c r="AA65" s="21">
        <f>AVERAGE(P65,R65,T65,V65,X65,Z65)</f>
        <v>61</v>
      </c>
      <c r="AB65" s="22">
        <f>SUM(P65,R65,T65,V65,X65,Z65)</f>
        <v>366</v>
      </c>
      <c r="AC65" s="1">
        <f>MAX(P65,R65,T65,V65,X65,Z65)</f>
        <v>73</v>
      </c>
      <c r="AD65" s="23">
        <f>AB65-AC65</f>
        <v>293</v>
      </c>
    </row>
    <row r="66" spans="1:30" ht="12.75">
      <c r="A66">
        <v>62</v>
      </c>
      <c r="B66" t="s">
        <v>315</v>
      </c>
      <c r="C66" t="s">
        <v>175</v>
      </c>
      <c r="D66" t="s">
        <v>260</v>
      </c>
      <c r="E66" t="s">
        <v>95</v>
      </c>
      <c r="F66" s="1">
        <v>1967</v>
      </c>
      <c r="G66" s="1">
        <f>2022-F66</f>
        <v>55</v>
      </c>
      <c r="H66" s="20">
        <f>IF(F66&lt;1943,"L",IF(F66&lt;1948,"SM",IF(F66&lt;1958,"M",IF(F66&gt;1993,"U",""))))</f>
      </c>
      <c r="I66" s="1" t="s">
        <v>316</v>
      </c>
      <c r="J66" t="s">
        <v>317</v>
      </c>
      <c r="K66" t="s">
        <v>32</v>
      </c>
      <c r="L66" t="s">
        <v>33</v>
      </c>
      <c r="M66" s="1">
        <v>2021</v>
      </c>
      <c r="N66" s="1">
        <v>299</v>
      </c>
      <c r="O66" s="1" t="s">
        <v>130</v>
      </c>
      <c r="P66" s="2">
        <v>73</v>
      </c>
      <c r="Q66" s="1">
        <v>38</v>
      </c>
      <c r="R66" s="2">
        <v>38</v>
      </c>
      <c r="S66" s="1">
        <v>42</v>
      </c>
      <c r="T66" s="3">
        <v>42</v>
      </c>
      <c r="U66" s="1" t="s">
        <v>46</v>
      </c>
      <c r="V66" s="2">
        <v>73</v>
      </c>
      <c r="W66" s="1" t="s">
        <v>46</v>
      </c>
      <c r="X66" s="2">
        <v>73</v>
      </c>
      <c r="Y66" s="1" t="s">
        <v>46</v>
      </c>
      <c r="Z66" s="2">
        <v>73</v>
      </c>
      <c r="AA66" s="21">
        <f>AVERAGE(P66,R66,T66,V66,X66,Z66)</f>
        <v>62</v>
      </c>
      <c r="AB66" s="22">
        <f>SUM(P66,R66,T66,V66,X66,Z66)</f>
        <v>372</v>
      </c>
      <c r="AC66" s="1">
        <f>MAX(P66,R66,T66,V66,X66,Z66)</f>
        <v>73</v>
      </c>
      <c r="AD66" s="23">
        <f>AB66-AC66</f>
        <v>299</v>
      </c>
    </row>
    <row r="67" spans="1:30" ht="12.75">
      <c r="A67">
        <v>63</v>
      </c>
      <c r="B67" t="s">
        <v>318</v>
      </c>
      <c r="C67" t="s">
        <v>319</v>
      </c>
      <c r="D67" t="s">
        <v>260</v>
      </c>
      <c r="E67" t="s">
        <v>95</v>
      </c>
      <c r="F67" s="1">
        <v>1974</v>
      </c>
      <c r="G67" s="1">
        <f>2022-F67</f>
        <v>48</v>
      </c>
      <c r="H67" s="20">
        <f>IF(F67&lt;1943,"L",IF(F67&lt;1948,"SM",IF(F67&lt;1958,"M",IF(F67&gt;1993,"U",""))))</f>
      </c>
      <c r="I67" s="1" t="s">
        <v>320</v>
      </c>
      <c r="J67" t="s">
        <v>321</v>
      </c>
      <c r="K67" t="s">
        <v>32</v>
      </c>
      <c r="L67" t="s">
        <v>33</v>
      </c>
      <c r="M67" s="1">
        <v>2005</v>
      </c>
      <c r="N67" s="1">
        <v>299</v>
      </c>
      <c r="O67" s="1" t="s">
        <v>130</v>
      </c>
      <c r="P67" s="2">
        <v>73</v>
      </c>
      <c r="Q67" s="1">
        <v>64</v>
      </c>
      <c r="R67" s="2">
        <v>64</v>
      </c>
      <c r="S67" s="1">
        <v>57</v>
      </c>
      <c r="T67" s="3">
        <v>57</v>
      </c>
      <c r="U67" s="1">
        <v>51</v>
      </c>
      <c r="V67" s="2">
        <v>51</v>
      </c>
      <c r="W67" s="1">
        <v>54</v>
      </c>
      <c r="X67" s="2">
        <v>54</v>
      </c>
      <c r="Y67" s="1" t="s">
        <v>46</v>
      </c>
      <c r="Z67" s="2">
        <v>73</v>
      </c>
      <c r="AA67" s="21">
        <f>AVERAGE(P67,R67,T67,V67,X67,Z67)</f>
        <v>62</v>
      </c>
      <c r="AB67" s="22">
        <f>SUM(P67,R67,T67,V67,X67,Z67)</f>
        <v>372</v>
      </c>
      <c r="AC67" s="1">
        <f>MAX(P67,R67,T67,V67,X67,Z67)</f>
        <v>73</v>
      </c>
      <c r="AD67" s="23">
        <f>AB67-AC67</f>
        <v>299</v>
      </c>
    </row>
    <row r="68" spans="1:30" ht="12.75">
      <c r="A68">
        <v>64</v>
      </c>
      <c r="B68" t="s">
        <v>322</v>
      </c>
      <c r="C68" t="s">
        <v>323</v>
      </c>
      <c r="D68" t="s">
        <v>324</v>
      </c>
      <c r="E68" t="s">
        <v>63</v>
      </c>
      <c r="F68" s="1">
        <v>1956</v>
      </c>
      <c r="G68" s="1">
        <f>2022-F68</f>
        <v>66</v>
      </c>
      <c r="H68" s="20" t="str">
        <f>IF(F68&lt;1943,"L",IF(F68&lt;1948,"SM",IF(F68&lt;1958,"M",IF(F68&gt;1993,"U",""))))</f>
        <v>M</v>
      </c>
      <c r="I68" s="1" t="s">
        <v>325</v>
      </c>
      <c r="J68" t="s">
        <v>326</v>
      </c>
      <c r="K68" t="s">
        <v>32</v>
      </c>
      <c r="L68" t="s">
        <v>33</v>
      </c>
      <c r="M68" s="1">
        <v>1996</v>
      </c>
      <c r="N68" s="1">
        <v>307</v>
      </c>
      <c r="O68" s="1" t="s">
        <v>130</v>
      </c>
      <c r="P68" s="2">
        <v>73</v>
      </c>
      <c r="Q68" s="1">
        <v>53</v>
      </c>
      <c r="R68" s="2">
        <v>53</v>
      </c>
      <c r="S68" s="1">
        <v>35</v>
      </c>
      <c r="T68" s="3">
        <v>35</v>
      </c>
      <c r="U68" s="1" t="s">
        <v>46</v>
      </c>
      <c r="V68" s="2">
        <v>73</v>
      </c>
      <c r="W68" s="1" t="s">
        <v>46</v>
      </c>
      <c r="X68" s="2">
        <v>73</v>
      </c>
      <c r="Y68" s="1" t="s">
        <v>46</v>
      </c>
      <c r="Z68" s="2">
        <v>73</v>
      </c>
      <c r="AA68" s="21">
        <f>AVERAGE(P68,R68,T68,V68,X68,Z68)</f>
        <v>63.333333333333336</v>
      </c>
      <c r="AB68" s="22">
        <f>SUM(P68,R68,T68,V68,X68,Z68)</f>
        <v>380</v>
      </c>
      <c r="AC68" s="1">
        <f>MAX(P68,R68,T68,V68,X68,Z68)</f>
        <v>73</v>
      </c>
      <c r="AD68" s="23">
        <f>AB68-AC68</f>
        <v>307</v>
      </c>
    </row>
    <row r="69" spans="1:30" ht="12.75">
      <c r="A69">
        <v>65</v>
      </c>
      <c r="B69" t="s">
        <v>327</v>
      </c>
      <c r="C69" t="s">
        <v>269</v>
      </c>
      <c r="D69" t="s">
        <v>79</v>
      </c>
      <c r="E69" t="s">
        <v>29</v>
      </c>
      <c r="F69" s="1">
        <v>1962</v>
      </c>
      <c r="G69" s="1">
        <f>2022-F69</f>
        <v>60</v>
      </c>
      <c r="H69" s="20">
        <f>IF(F69&lt;1943,"L",IF(F69&lt;1948,"SM",IF(F69&lt;1958,"M",IF(F69&gt;1993,"U",""))))</f>
      </c>
      <c r="I69" s="1" t="s">
        <v>328</v>
      </c>
      <c r="J69" t="s">
        <v>329</v>
      </c>
      <c r="K69" t="s">
        <v>52</v>
      </c>
      <c r="L69" t="s">
        <v>53</v>
      </c>
      <c r="M69" s="1">
        <v>2011</v>
      </c>
      <c r="N69" s="1">
        <v>334</v>
      </c>
      <c r="O69" s="1" t="s">
        <v>130</v>
      </c>
      <c r="P69" s="2">
        <v>73</v>
      </c>
      <c r="Q69" s="1">
        <v>59</v>
      </c>
      <c r="R69" s="2">
        <v>59</v>
      </c>
      <c r="S69" s="1">
        <v>56</v>
      </c>
      <c r="T69" s="3">
        <v>56</v>
      </c>
      <c r="U69" s="1" t="s">
        <v>46</v>
      </c>
      <c r="V69" s="2">
        <v>73</v>
      </c>
      <c r="W69" s="1" t="s">
        <v>46</v>
      </c>
      <c r="X69" s="2">
        <v>73</v>
      </c>
      <c r="Y69" s="1" t="s">
        <v>46</v>
      </c>
      <c r="Z69" s="2">
        <v>73</v>
      </c>
      <c r="AA69" s="21">
        <f>AVERAGE(P69,R69,T69,V69,X69,Z69)</f>
        <v>67.83333333333333</v>
      </c>
      <c r="AB69" s="22">
        <f>SUM(P69,R69,T69,V69,X69,Z69)</f>
        <v>407</v>
      </c>
      <c r="AC69" s="1">
        <f>MAX(P69,R69,T69,V69,X69,Z69)</f>
        <v>73</v>
      </c>
      <c r="AD69" s="23">
        <f>AB69-AC69</f>
        <v>334</v>
      </c>
    </row>
    <row r="70" spans="1:30" ht="12.75">
      <c r="A70">
        <v>66</v>
      </c>
      <c r="B70" t="s">
        <v>330</v>
      </c>
      <c r="C70" t="s">
        <v>175</v>
      </c>
      <c r="D70" t="s">
        <v>331</v>
      </c>
      <c r="E70" t="s">
        <v>29</v>
      </c>
      <c r="F70" s="1">
        <v>1955</v>
      </c>
      <c r="G70" s="1">
        <f>2022-F70</f>
        <v>67</v>
      </c>
      <c r="H70" s="20" t="str">
        <f>IF(F70&lt;1943,"L",IF(F70&lt;1948,"SM",IF(F70&lt;1958,"M",IF(F70&gt;1993,"U",""))))</f>
        <v>M</v>
      </c>
      <c r="I70" s="1" t="s">
        <v>332</v>
      </c>
      <c r="J70" t="s">
        <v>333</v>
      </c>
      <c r="K70" t="s">
        <v>40</v>
      </c>
      <c r="L70" t="s">
        <v>107</v>
      </c>
      <c r="M70" s="1">
        <v>2021</v>
      </c>
      <c r="N70" s="1">
        <v>340</v>
      </c>
      <c r="O70" s="1" t="s">
        <v>130</v>
      </c>
      <c r="P70" s="2">
        <v>73</v>
      </c>
      <c r="Q70" s="1">
        <v>60</v>
      </c>
      <c r="R70" s="2">
        <v>60</v>
      </c>
      <c r="S70" s="1">
        <v>61</v>
      </c>
      <c r="T70" s="3">
        <v>61</v>
      </c>
      <c r="U70" s="1" t="s">
        <v>46</v>
      </c>
      <c r="V70" s="2">
        <v>73</v>
      </c>
      <c r="W70" s="1" t="s">
        <v>46</v>
      </c>
      <c r="X70" s="2">
        <v>73</v>
      </c>
      <c r="Y70" s="1" t="s">
        <v>46</v>
      </c>
      <c r="Z70" s="2">
        <v>73</v>
      </c>
      <c r="AA70" s="21">
        <f>AVERAGE(P70,R70,T70,V70,X70,Z70)</f>
        <v>68.83333333333333</v>
      </c>
      <c r="AB70" s="22">
        <f>SUM(P70,R70,T70,V70,X70,Z70)</f>
        <v>413</v>
      </c>
      <c r="AC70" s="1">
        <f>MAX(P70,R70,T70,V70,X70,Z70)</f>
        <v>73</v>
      </c>
      <c r="AD70" s="23">
        <f>AB70-AC70</f>
        <v>340</v>
      </c>
    </row>
    <row r="71" spans="1:30" ht="12.75">
      <c r="A71">
        <v>67</v>
      </c>
      <c r="B71" t="s">
        <v>334</v>
      </c>
      <c r="C71" t="s">
        <v>216</v>
      </c>
      <c r="D71" t="s">
        <v>260</v>
      </c>
      <c r="E71" t="s">
        <v>95</v>
      </c>
      <c r="F71" s="1">
        <v>1949</v>
      </c>
      <c r="G71" s="1">
        <f>2022-F71</f>
        <v>73</v>
      </c>
      <c r="H71" s="20" t="str">
        <f>IF(F71&lt;1943,"L",IF(F71&lt;1948,"SM",IF(F71&lt;1958,"M",IF(F71&gt;1993,"U",""))))</f>
        <v>M</v>
      </c>
      <c r="I71" s="1" t="s">
        <v>335</v>
      </c>
      <c r="J71" t="s">
        <v>336</v>
      </c>
      <c r="K71" t="s">
        <v>52</v>
      </c>
      <c r="L71" t="s">
        <v>337</v>
      </c>
      <c r="M71" s="1">
        <v>1956</v>
      </c>
      <c r="N71" s="1">
        <v>357</v>
      </c>
      <c r="O71" s="1">
        <v>65</v>
      </c>
      <c r="P71" s="2">
        <v>65</v>
      </c>
      <c r="Q71" s="1" t="s">
        <v>46</v>
      </c>
      <c r="R71" s="2">
        <v>73</v>
      </c>
      <c r="S71" s="1" t="s">
        <v>46</v>
      </c>
      <c r="T71" s="2">
        <v>73</v>
      </c>
      <c r="U71" s="1" t="s">
        <v>46</v>
      </c>
      <c r="V71" s="2">
        <v>73</v>
      </c>
      <c r="W71" s="1" t="s">
        <v>46</v>
      </c>
      <c r="X71" s="2">
        <v>73</v>
      </c>
      <c r="Y71" s="1" t="s">
        <v>46</v>
      </c>
      <c r="Z71" s="2">
        <v>73</v>
      </c>
      <c r="AA71" s="21">
        <f>AVERAGE(P71,R71,T71,V71,X71,Z71)</f>
        <v>71.66666666666667</v>
      </c>
      <c r="AB71" s="22">
        <f>SUM(P71,R71,T71,V71,X71,Z71)</f>
        <v>430</v>
      </c>
      <c r="AC71" s="1">
        <f>MAX(P71,R71,T71,V71,X71,Z71)</f>
        <v>73</v>
      </c>
      <c r="AD71" s="23">
        <f>AB71-AC71</f>
        <v>357</v>
      </c>
    </row>
    <row r="72" spans="1:30" ht="12.75">
      <c r="A72">
        <v>68</v>
      </c>
      <c r="B72" t="s">
        <v>338</v>
      </c>
      <c r="C72" t="s">
        <v>72</v>
      </c>
      <c r="D72" t="s">
        <v>144</v>
      </c>
      <c r="E72" t="s">
        <v>145</v>
      </c>
      <c r="F72" s="1">
        <v>1938</v>
      </c>
      <c r="G72" s="1">
        <f>2022-F72</f>
        <v>84</v>
      </c>
      <c r="H72" s="20" t="str">
        <f>IF(F72&lt;1943,"L",IF(F72&lt;1948,"SM",IF(F72&lt;1958,"M",IF(F72&gt;1993,"U",""))))</f>
        <v>L</v>
      </c>
      <c r="I72" s="1" t="s">
        <v>339</v>
      </c>
      <c r="J72" t="s">
        <v>340</v>
      </c>
      <c r="K72" t="s">
        <v>52</v>
      </c>
      <c r="L72" t="s">
        <v>47</v>
      </c>
      <c r="M72" s="1">
        <v>1972</v>
      </c>
      <c r="N72" s="1">
        <v>365</v>
      </c>
      <c r="O72" s="1" t="s">
        <v>130</v>
      </c>
      <c r="P72" s="2">
        <v>73</v>
      </c>
      <c r="Q72" s="1" t="s">
        <v>341</v>
      </c>
      <c r="R72" s="2">
        <v>73</v>
      </c>
      <c r="S72" s="1" t="s">
        <v>342</v>
      </c>
      <c r="T72" s="2">
        <v>73</v>
      </c>
      <c r="U72" s="1" t="s">
        <v>46</v>
      </c>
      <c r="V72" s="2">
        <v>73</v>
      </c>
      <c r="W72" s="1" t="s">
        <v>46</v>
      </c>
      <c r="X72" s="2">
        <v>73</v>
      </c>
      <c r="Y72" s="1" t="s">
        <v>46</v>
      </c>
      <c r="Z72" s="2">
        <v>73</v>
      </c>
      <c r="AA72" s="21">
        <f>AVERAGE(P72,R72,T72,V72,X72,Z72)</f>
        <v>73</v>
      </c>
      <c r="AB72" s="22">
        <f>SUM(P72,R72,T72,V72,X72,Z72)</f>
        <v>438</v>
      </c>
      <c r="AC72" s="1">
        <f>MAX(P72,R72,T72,V72,X72,Z72)</f>
        <v>73</v>
      </c>
      <c r="AD72" s="23">
        <f>AB72-AC72</f>
        <v>365</v>
      </c>
    </row>
    <row r="73" spans="1:30" ht="12.75">
      <c r="A73">
        <v>68</v>
      </c>
      <c r="B73" t="s">
        <v>343</v>
      </c>
      <c r="C73" t="s">
        <v>138</v>
      </c>
      <c r="D73" t="s">
        <v>344</v>
      </c>
      <c r="E73" t="s">
        <v>145</v>
      </c>
      <c r="F73" s="1">
        <v>1947</v>
      </c>
      <c r="G73" s="1">
        <f>2022-F73</f>
        <v>75</v>
      </c>
      <c r="H73" s="20" t="str">
        <f>IF(F73&lt;1943,"L",IF(F73&lt;1948,"SM",IF(F73&lt;1958,"M",IF(F73&gt;1993,"U",""))))</f>
        <v>SM</v>
      </c>
      <c r="I73" s="1" t="s">
        <v>345</v>
      </c>
      <c r="J73" t="s">
        <v>346</v>
      </c>
      <c r="K73" t="s">
        <v>52</v>
      </c>
      <c r="L73" t="s">
        <v>347</v>
      </c>
      <c r="M73" s="1">
        <v>1960</v>
      </c>
      <c r="N73" s="1">
        <v>365</v>
      </c>
      <c r="O73" s="1" t="s">
        <v>341</v>
      </c>
      <c r="P73" s="2">
        <v>73</v>
      </c>
      <c r="Q73" s="1" t="s">
        <v>341</v>
      </c>
      <c r="R73" s="2">
        <v>73</v>
      </c>
      <c r="S73" s="1" t="s">
        <v>341</v>
      </c>
      <c r="T73" s="2">
        <v>73</v>
      </c>
      <c r="U73" s="1" t="s">
        <v>341</v>
      </c>
      <c r="V73" s="2">
        <v>73</v>
      </c>
      <c r="W73" s="1" t="s">
        <v>341</v>
      </c>
      <c r="X73" s="2">
        <v>73</v>
      </c>
      <c r="Y73" s="1" t="s">
        <v>341</v>
      </c>
      <c r="Z73" s="2">
        <v>73</v>
      </c>
      <c r="AA73" s="21">
        <f>AVERAGE(P73,R73,T73,V73,X73,Z73)</f>
        <v>73</v>
      </c>
      <c r="AB73" s="22">
        <f>SUM(P73,R73,T73,V73,X73,Z73)</f>
        <v>438</v>
      </c>
      <c r="AC73" s="1">
        <f>MAX(P73,R73,T73,V73,X73,Z73)</f>
        <v>73</v>
      </c>
      <c r="AD73" s="23">
        <f>AB73-AC73</f>
        <v>365</v>
      </c>
    </row>
    <row r="74" spans="1:30" ht="12.75">
      <c r="A74">
        <v>68</v>
      </c>
      <c r="B74" t="s">
        <v>348</v>
      </c>
      <c r="C74" t="s">
        <v>349</v>
      </c>
      <c r="D74" t="s">
        <v>94</v>
      </c>
      <c r="E74" t="s">
        <v>95</v>
      </c>
      <c r="F74" s="1">
        <v>1952</v>
      </c>
      <c r="G74" s="1">
        <f>2022-F74</f>
        <v>70</v>
      </c>
      <c r="H74" s="20" t="str">
        <f>IF(F74&lt;1943,"L",IF(F74&lt;1948,"SM",IF(F74&lt;1958,"M",IF(F74&gt;1993,"U",""))))</f>
        <v>M</v>
      </c>
      <c r="I74" s="1" t="s">
        <v>350</v>
      </c>
      <c r="J74" t="s">
        <v>351</v>
      </c>
      <c r="K74" t="s">
        <v>40</v>
      </c>
      <c r="L74" t="s">
        <v>136</v>
      </c>
      <c r="M74" s="1">
        <v>1992</v>
      </c>
      <c r="N74" s="1">
        <v>365</v>
      </c>
      <c r="O74" s="1" t="s">
        <v>341</v>
      </c>
      <c r="P74" s="2">
        <v>73</v>
      </c>
      <c r="Q74" s="1" t="s">
        <v>341</v>
      </c>
      <c r="R74" s="2">
        <v>73</v>
      </c>
      <c r="S74" s="1" t="s">
        <v>341</v>
      </c>
      <c r="T74" s="2">
        <v>73</v>
      </c>
      <c r="U74" s="1" t="s">
        <v>341</v>
      </c>
      <c r="V74" s="2">
        <v>73</v>
      </c>
      <c r="W74" s="1" t="s">
        <v>341</v>
      </c>
      <c r="X74" s="2">
        <v>73</v>
      </c>
      <c r="Y74" s="1" t="s">
        <v>341</v>
      </c>
      <c r="Z74" s="2">
        <v>73</v>
      </c>
      <c r="AA74" s="21">
        <f>AVERAGE(P74,R74,T74,V74,X74,Z74)</f>
        <v>73</v>
      </c>
      <c r="AB74" s="22">
        <f>SUM(P74,R74,T74,V74,X74,Z74)</f>
        <v>438</v>
      </c>
      <c r="AC74" s="1">
        <f>MAX(P74,R74,T74,V74,X74,Z74)</f>
        <v>73</v>
      </c>
      <c r="AD74" s="23">
        <f>AB74-AC74</f>
        <v>365</v>
      </c>
    </row>
    <row r="75" spans="1:30" ht="12.75">
      <c r="A75">
        <v>68</v>
      </c>
      <c r="B75" t="s">
        <v>352</v>
      </c>
      <c r="C75" t="s">
        <v>216</v>
      </c>
      <c r="D75" t="s">
        <v>353</v>
      </c>
      <c r="E75" t="s">
        <v>37</v>
      </c>
      <c r="F75" s="1">
        <v>1955</v>
      </c>
      <c r="G75" s="1">
        <f>2022-F75</f>
        <v>67</v>
      </c>
      <c r="H75" s="20" t="str">
        <f>IF(F75&lt;1943,"L",IF(F75&lt;1948,"SM",IF(F75&lt;1958,"M",IF(F75&gt;1993,"U",""))))</f>
        <v>M</v>
      </c>
      <c r="I75" s="1" t="s">
        <v>354</v>
      </c>
      <c r="J75" t="s">
        <v>355</v>
      </c>
      <c r="K75" t="s">
        <v>40</v>
      </c>
      <c r="L75" t="s">
        <v>47</v>
      </c>
      <c r="M75" s="1">
        <v>2003</v>
      </c>
      <c r="N75" s="1">
        <v>365</v>
      </c>
      <c r="O75" s="1" t="s">
        <v>341</v>
      </c>
      <c r="P75" s="2">
        <v>73</v>
      </c>
      <c r="Q75" s="1" t="s">
        <v>341</v>
      </c>
      <c r="R75" s="2">
        <v>73</v>
      </c>
      <c r="S75" s="1" t="s">
        <v>341</v>
      </c>
      <c r="T75" s="2">
        <v>73</v>
      </c>
      <c r="U75" s="1" t="s">
        <v>341</v>
      </c>
      <c r="V75" s="2">
        <v>73</v>
      </c>
      <c r="W75" s="1" t="s">
        <v>341</v>
      </c>
      <c r="X75" s="2">
        <v>73</v>
      </c>
      <c r="Y75" s="1" t="s">
        <v>341</v>
      </c>
      <c r="Z75" s="2">
        <v>73</v>
      </c>
      <c r="AA75" s="21">
        <f>AVERAGE(P75,R75,T75,V75,X75,Z75)</f>
        <v>73</v>
      </c>
      <c r="AB75" s="22">
        <f>SUM(P75,R75,T75,V75,X75,Z75)</f>
        <v>438</v>
      </c>
      <c r="AC75" s="1">
        <f>MAX(P75,R75,T75,V75,X75,Z75)</f>
        <v>73</v>
      </c>
      <c r="AD75" s="23">
        <f>AB75-AC75</f>
        <v>365</v>
      </c>
    </row>
    <row r="76" spans="1:30" ht="12.75">
      <c r="A76">
        <v>68</v>
      </c>
      <c r="B76" t="s">
        <v>356</v>
      </c>
      <c r="C76" t="s">
        <v>188</v>
      </c>
      <c r="E76" t="s">
        <v>37</v>
      </c>
      <c r="F76" s="1">
        <v>1949</v>
      </c>
      <c r="G76" s="1">
        <f>2022-F76</f>
        <v>73</v>
      </c>
      <c r="H76" s="20" t="str">
        <f>IF(F76&lt;1943,"L",IF(F76&lt;1948,"SM",IF(F76&lt;1958,"M",IF(F76&gt;1993,"U",""))))</f>
        <v>M</v>
      </c>
      <c r="I76" s="1" t="s">
        <v>357</v>
      </c>
      <c r="J76" t="s">
        <v>358</v>
      </c>
      <c r="K76" t="s">
        <v>52</v>
      </c>
      <c r="L76" t="s">
        <v>183</v>
      </c>
      <c r="M76" s="1">
        <v>2010</v>
      </c>
      <c r="N76" s="1">
        <v>365</v>
      </c>
      <c r="O76" s="1" t="s">
        <v>341</v>
      </c>
      <c r="P76" s="2">
        <v>73</v>
      </c>
      <c r="Q76" s="1" t="s">
        <v>341</v>
      </c>
      <c r="R76" s="2">
        <v>73</v>
      </c>
      <c r="S76" s="1" t="s">
        <v>341</v>
      </c>
      <c r="T76" s="2">
        <v>73</v>
      </c>
      <c r="U76" s="1" t="s">
        <v>341</v>
      </c>
      <c r="V76" s="2">
        <v>73</v>
      </c>
      <c r="W76" s="1" t="s">
        <v>341</v>
      </c>
      <c r="X76" s="2">
        <v>73</v>
      </c>
      <c r="Y76" s="1" t="s">
        <v>341</v>
      </c>
      <c r="Z76" s="2">
        <v>73</v>
      </c>
      <c r="AA76" s="21">
        <f>AVERAGE(P76,R76,T76,V76,X76,Z76)</f>
        <v>73</v>
      </c>
      <c r="AB76" s="22">
        <f>SUM(P76,R76,T76,V76,X76,Z76)</f>
        <v>438</v>
      </c>
      <c r="AC76" s="1">
        <f>MAX(P76,R76,T76,V76,X76,Z76)</f>
        <v>73</v>
      </c>
      <c r="AD76" s="23">
        <f>AB76-AC76</f>
        <v>365</v>
      </c>
    </row>
    <row r="78" spans="2:9" ht="12.75">
      <c r="B78" s="15" t="s">
        <v>359</v>
      </c>
      <c r="D78" s="28">
        <f>SUM(E79:E86,E88:E91)</f>
        <v>72</v>
      </c>
      <c r="G78"/>
      <c r="H78" s="29" t="s">
        <v>360</v>
      </c>
      <c r="I78" s="30"/>
    </row>
    <row r="79" spans="2:8" ht="12.75">
      <c r="B79" s="15"/>
      <c r="C79" t="s">
        <v>361</v>
      </c>
      <c r="E79" s="31">
        <f>COUNTIF(E$5:E$76,"liguria")</f>
        <v>21</v>
      </c>
      <c r="G79"/>
      <c r="H79" s="32">
        <f>COUNTIF(E$5:E$14,"liguria")</f>
        <v>4</v>
      </c>
    </row>
    <row r="80" spans="3:26" ht="12.75">
      <c r="C80" t="s">
        <v>362</v>
      </c>
      <c r="E80" s="31">
        <f>COUNTIF(E$5:E$76,"alto tirreno")</f>
        <v>1</v>
      </c>
      <c r="F80"/>
      <c r="G80"/>
      <c r="H80" s="32"/>
      <c r="I80"/>
      <c r="M80"/>
      <c r="N80"/>
      <c r="O80"/>
      <c r="P80" s="33"/>
      <c r="Q80"/>
      <c r="R80" s="33"/>
      <c r="S80"/>
      <c r="T80" s="34"/>
      <c r="U80"/>
      <c r="V80" s="33"/>
      <c r="W80"/>
      <c r="X80" s="33"/>
      <c r="Y80"/>
      <c r="Z80" s="33"/>
    </row>
    <row r="81" spans="3:26" ht="12.75">
      <c r="C81" t="s">
        <v>363</v>
      </c>
      <c r="E81" s="31">
        <f>COUNTIF(E$5:E$76,"tirreno centro/meridionale")</f>
        <v>5</v>
      </c>
      <c r="F81"/>
      <c r="G81"/>
      <c r="H81" s="32"/>
      <c r="I81"/>
      <c r="M81"/>
      <c r="N81"/>
      <c r="O81"/>
      <c r="P81" s="33"/>
      <c r="Q81"/>
      <c r="R81" s="33"/>
      <c r="S81"/>
      <c r="T81" s="34"/>
      <c r="U81"/>
      <c r="V81" s="33"/>
      <c r="W81"/>
      <c r="X81" s="33"/>
      <c r="Y81"/>
      <c r="Z81" s="33"/>
    </row>
    <row r="82" spans="3:26" ht="12.75">
      <c r="C82" t="s">
        <v>364</v>
      </c>
      <c r="E82" s="31">
        <f>COUNTIF(E$5:E$76,"sicilia")</f>
        <v>1</v>
      </c>
      <c r="F82"/>
      <c r="G82"/>
      <c r="H82" s="32">
        <f>COUNTIF(E$5:E$14,"sicilia")</f>
        <v>1</v>
      </c>
      <c r="I82"/>
      <c r="M82"/>
      <c r="N82"/>
      <c r="O82"/>
      <c r="P82" s="33"/>
      <c r="Q82"/>
      <c r="R82" s="33"/>
      <c r="S82"/>
      <c r="T82" s="34"/>
      <c r="U82"/>
      <c r="V82" s="33"/>
      <c r="W82"/>
      <c r="X82" s="33"/>
      <c r="Y82"/>
      <c r="Z82" s="33"/>
    </row>
    <row r="83" spans="3:26" ht="12.75">
      <c r="C83" t="s">
        <v>365</v>
      </c>
      <c r="E83" s="31">
        <f>COUNTIF(E$5:E$76,"adriatico alto")</f>
        <v>3</v>
      </c>
      <c r="F83"/>
      <c r="G83"/>
      <c r="H83" s="32">
        <f>COUNTIF(E$5:E$14,"adriatico alto")</f>
        <v>1</v>
      </c>
      <c r="I83"/>
      <c r="M83"/>
      <c r="N83"/>
      <c r="O83"/>
      <c r="P83" s="33"/>
      <c r="Q83"/>
      <c r="R83" s="33"/>
      <c r="S83"/>
      <c r="T83" s="34"/>
      <c r="U83"/>
      <c r="V83" s="33"/>
      <c r="W83"/>
      <c r="X83" s="33"/>
      <c r="Y83"/>
      <c r="Z83" s="33"/>
    </row>
    <row r="84" spans="2:8" ht="12.75">
      <c r="B84" s="15"/>
      <c r="C84" t="s">
        <v>366</v>
      </c>
      <c r="E84" s="31">
        <f>COUNTIF(E$5:E$76,"adriatico centrale")</f>
        <v>17</v>
      </c>
      <c r="G84"/>
      <c r="H84" s="32">
        <f>COUNTIF(E$5:E$14,"adriatico centrale")</f>
        <v>3</v>
      </c>
    </row>
    <row r="85" spans="2:8" ht="12.75">
      <c r="B85" s="15"/>
      <c r="C85" t="s">
        <v>367</v>
      </c>
      <c r="E85" s="31">
        <f>COUNTIF(E$5:E$76,"adriatico basso")</f>
        <v>8</v>
      </c>
      <c r="G85"/>
      <c r="H85" s="32"/>
    </row>
    <row r="86" spans="2:8" ht="12.75">
      <c r="B86" s="15"/>
      <c r="D86" t="s">
        <v>111</v>
      </c>
      <c r="E86" s="31">
        <f>COUNTIF(E$5:E$76,"adriatico (meridionale)")</f>
        <v>6</v>
      </c>
      <c r="G86"/>
      <c r="H86" s="32"/>
    </row>
    <row r="87" spans="2:8" ht="12.75">
      <c r="B87" s="15"/>
      <c r="C87" t="s">
        <v>368</v>
      </c>
      <c r="D87" s="32">
        <f>SUM(E88:E90)</f>
        <v>9</v>
      </c>
      <c r="E87" s="35"/>
      <c r="G87"/>
      <c r="H87"/>
    </row>
    <row r="88" spans="2:8" ht="12.75">
      <c r="B88" s="15"/>
      <c r="D88" t="s">
        <v>369</v>
      </c>
      <c r="E88" s="31">
        <f>COUNTIF(E$5:E$76,"laghi prealpini (como)")</f>
        <v>4</v>
      </c>
      <c r="G88"/>
      <c r="H88" s="32"/>
    </row>
    <row r="89" spans="2:8" ht="12.75">
      <c r="B89" s="15"/>
      <c r="D89" t="s">
        <v>370</v>
      </c>
      <c r="E89" s="31">
        <f>COUNTIF(E$5:E$76,"laghi prealpini (maggiore)")</f>
        <v>3</v>
      </c>
      <c r="G89"/>
      <c r="H89" s="32">
        <f>COUNTIF(E$5:E$14,"laghi prealpini (maggiore)")</f>
        <v>1</v>
      </c>
    </row>
    <row r="90" spans="2:8" ht="12.75">
      <c r="B90" s="15"/>
      <c r="D90" t="s">
        <v>371</v>
      </c>
      <c r="E90" s="31">
        <f>COUNTIF(E$5:E$76,"laghi prealpini (garda)")</f>
        <v>2</v>
      </c>
      <c r="G90"/>
      <c r="H90" s="32"/>
    </row>
    <row r="91" spans="2:8" ht="12.75">
      <c r="B91" s="15"/>
      <c r="C91" t="s">
        <v>372</v>
      </c>
      <c r="E91" s="31">
        <f>COUNTIF(E$5:E$76,"estero")</f>
        <v>1</v>
      </c>
      <c r="G91"/>
      <c r="H91" s="32"/>
    </row>
    <row r="92" spans="5:7" ht="12.75">
      <c r="E92" s="35"/>
      <c r="G92"/>
    </row>
    <row r="93" spans="2:8" ht="12.75">
      <c r="B93" s="15" t="s">
        <v>373</v>
      </c>
      <c r="D93" s="23">
        <f>SUM(D95:D97)</f>
        <v>72</v>
      </c>
      <c r="E93" s="36">
        <f>SUM(E95:E97)</f>
        <v>1</v>
      </c>
      <c r="G93"/>
      <c r="H93" s="29" t="s">
        <v>360</v>
      </c>
    </row>
    <row r="94" spans="3:7" ht="12.75">
      <c r="C94" t="s">
        <v>374</v>
      </c>
      <c r="D94" s="32">
        <f>SUM(D95:D96)</f>
        <v>60</v>
      </c>
      <c r="E94" s="37">
        <f>D94/D$99</f>
        <v>0.8333333333333334</v>
      </c>
      <c r="G94"/>
    </row>
    <row r="95" spans="3:8" ht="12.75">
      <c r="C95" t="s">
        <v>32</v>
      </c>
      <c r="D95" s="32">
        <f>COUNTIF(K$5:K$76,"vtr")</f>
        <v>33</v>
      </c>
      <c r="E95" s="37">
        <f>D95/D$99</f>
        <v>0.4583333333333333</v>
      </c>
      <c r="G95"/>
      <c r="H95" s="32">
        <f>COUNTIF(K$5:K$14,"vtr")</f>
        <v>6</v>
      </c>
    </row>
    <row r="96" spans="3:8" ht="12.75">
      <c r="C96" t="s">
        <v>375</v>
      </c>
      <c r="D96" s="32">
        <f>COUNTIF(K$5:K$76,"vtr/legno")</f>
        <v>27</v>
      </c>
      <c r="E96" s="37">
        <f>D96/D$99</f>
        <v>0.375</v>
      </c>
      <c r="G96"/>
      <c r="H96" s="32">
        <f>COUNTIF(K$5:K$14,"vtr/legno")</f>
        <v>3</v>
      </c>
    </row>
    <row r="97" spans="3:8" ht="12.75">
      <c r="C97" t="s">
        <v>376</v>
      </c>
      <c r="D97" s="32">
        <f>COUNTIF(K$5:K$76,"legno classico")</f>
        <v>12</v>
      </c>
      <c r="E97" s="37">
        <f>D97/D$99</f>
        <v>0.16666666666666666</v>
      </c>
      <c r="G97"/>
      <c r="H97" s="32">
        <f>COUNTIF(K$5:K$14,"legno classico")</f>
        <v>1</v>
      </c>
    </row>
    <row r="98" spans="5:7" ht="12.75">
      <c r="E98" s="35"/>
      <c r="G98"/>
    </row>
    <row r="99" spans="2:8" ht="12.75">
      <c r="B99" s="15" t="s">
        <v>377</v>
      </c>
      <c r="C99" s="23"/>
      <c r="D99" s="28">
        <f>SUM(D100:D110)</f>
        <v>72</v>
      </c>
      <c r="E99" s="36">
        <f>SUM(E100:E110)</f>
        <v>0.9999999999999999</v>
      </c>
      <c r="G99"/>
      <c r="H99" s="29" t="s">
        <v>360</v>
      </c>
    </row>
    <row r="100" spans="3:8" ht="12.75">
      <c r="C100" t="s">
        <v>157</v>
      </c>
      <c r="D100" s="32">
        <f>COUNTIF(L$5:L$76,"Bonaldo")</f>
        <v>6</v>
      </c>
      <c r="E100" s="37">
        <f>D100/D$99</f>
        <v>0.08333333333333333</v>
      </c>
      <c r="G100"/>
      <c r="H100" s="32"/>
    </row>
    <row r="101" spans="3:8" ht="12.75">
      <c r="C101" t="s">
        <v>107</v>
      </c>
      <c r="D101" s="32">
        <f>COUNTIF(L$5:L$76,"Bonaldo Z")</f>
        <v>3</v>
      </c>
      <c r="E101" s="37">
        <f>D101/D$99</f>
        <v>0.041666666666666664</v>
      </c>
      <c r="G101"/>
      <c r="H101" s="32"/>
    </row>
    <row r="102" spans="3:8" ht="12.75">
      <c r="C102" t="s">
        <v>53</v>
      </c>
      <c r="D102" s="32">
        <f>COUNTIF(L$5:L$76,"Colombo")</f>
        <v>4</v>
      </c>
      <c r="E102" s="37">
        <f>D102/D$99</f>
        <v>0.05555555555555555</v>
      </c>
      <c r="G102"/>
      <c r="H102" s="32">
        <f>COUNTIF(L$5:L$14,"Colombo")</f>
        <v>1</v>
      </c>
    </row>
    <row r="103" spans="3:8" ht="12.75">
      <c r="C103" t="s">
        <v>347</v>
      </c>
      <c r="D103" s="32">
        <f>COUNTIF(L$5:L$76,"Cranchi")</f>
        <v>1</v>
      </c>
      <c r="E103" s="37">
        <f>D103/D$99</f>
        <v>0.013888888888888888</v>
      </c>
      <c r="G103"/>
      <c r="H103" s="32"/>
    </row>
    <row r="104" spans="3:8" ht="12.75">
      <c r="C104" t="s">
        <v>33</v>
      </c>
      <c r="D104" s="32">
        <f>COUNTIF(L$5:L$76,"Lillia")</f>
        <v>35</v>
      </c>
      <c r="E104" s="37">
        <f>D104/D$99</f>
        <v>0.4861111111111111</v>
      </c>
      <c r="G104"/>
      <c r="H104" s="32">
        <f>COUNTIF(L$5:L$14,"Lillia")</f>
        <v>7</v>
      </c>
    </row>
    <row r="105" spans="3:8" ht="12.75">
      <c r="C105" t="s">
        <v>136</v>
      </c>
      <c r="D105" s="32">
        <f>COUNTIF(L$5:L$76,"Nauticalodi")</f>
        <v>7</v>
      </c>
      <c r="E105" s="37">
        <f>D105/D$99</f>
        <v>0.09722222222222222</v>
      </c>
      <c r="G105"/>
      <c r="H105" s="32"/>
    </row>
    <row r="106" spans="3:8" ht="12.75">
      <c r="C106" t="s">
        <v>337</v>
      </c>
      <c r="D106" s="32">
        <f>COUNTIF(L11:L95,"Ognio")</f>
        <v>1</v>
      </c>
      <c r="E106" s="37">
        <f>D106/D$99</f>
        <v>0.013888888888888888</v>
      </c>
      <c r="G106"/>
      <c r="H106" s="32"/>
    </row>
    <row r="107" spans="3:8" ht="12.75">
      <c r="C107" t="s">
        <v>47</v>
      </c>
      <c r="D107" s="32">
        <f>COUNTIF(L$5:L$76,"Patrone")</f>
        <v>3</v>
      </c>
      <c r="E107" s="37">
        <f>D107/D$99</f>
        <v>0.041666666666666664</v>
      </c>
      <c r="G107"/>
      <c r="H107" s="32"/>
    </row>
    <row r="108" spans="3:8" ht="12.75">
      <c r="C108" t="s">
        <v>280</v>
      </c>
      <c r="D108" s="32">
        <f>COUNTIF(L$5:L$76,"Patucelli")</f>
        <v>1</v>
      </c>
      <c r="E108" s="37">
        <f>D108/D$99</f>
        <v>0.013888888888888888</v>
      </c>
      <c r="G108"/>
      <c r="H108" s="32"/>
    </row>
    <row r="109" spans="3:8" ht="12.75">
      <c r="C109" t="s">
        <v>183</v>
      </c>
      <c r="D109" s="32">
        <f>COUNTIF(L$5:L$76,"Riva")</f>
        <v>3</v>
      </c>
      <c r="E109" s="37">
        <f>D109/D$99</f>
        <v>0.041666666666666664</v>
      </c>
      <c r="G109"/>
      <c r="H109" s="32"/>
    </row>
    <row r="110" spans="3:8" ht="12.75">
      <c r="C110" t="s">
        <v>45</v>
      </c>
      <c r="D110" s="32">
        <f>COUNTIF(L$5:L$76,"S.Orsola")</f>
        <v>8</v>
      </c>
      <c r="E110" s="37">
        <f>D110/D$99</f>
        <v>0.1111111111111111</v>
      </c>
      <c r="G110"/>
      <c r="H110" s="32">
        <f>COUNTIF(L$5:L$14,"S.Orsola")</f>
        <v>2</v>
      </c>
    </row>
    <row r="111" spans="5:7" ht="12.75">
      <c r="E111" s="35"/>
      <c r="G111"/>
    </row>
    <row r="112" spans="2:8" ht="12.75">
      <c r="B112" s="15" t="s">
        <v>8</v>
      </c>
      <c r="D112" s="23">
        <f>SUM(D113:D117)</f>
        <v>72</v>
      </c>
      <c r="E112" s="36">
        <f>SUM(E113:E117)</f>
        <v>0.9999999999999999</v>
      </c>
      <c r="G112"/>
      <c r="H112" s="29" t="s">
        <v>360</v>
      </c>
    </row>
    <row r="113" spans="3:11" ht="12.75">
      <c r="C113" t="s">
        <v>378</v>
      </c>
      <c r="D113" s="32">
        <f>COUNTIF(H$5:H$76,"U")</f>
        <v>1</v>
      </c>
      <c r="E113" s="37">
        <f>D113/D$99</f>
        <v>0.013888888888888888</v>
      </c>
      <c r="G113"/>
      <c r="H113" s="32">
        <f>COUNTIF(H$5:H$14,"U")</f>
        <v>1</v>
      </c>
      <c r="J113" s="29" t="s">
        <v>379</v>
      </c>
      <c r="K113" s="38">
        <f>MIN(G$5:G$76)</f>
        <v>19</v>
      </c>
    </row>
    <row r="114" spans="3:11" ht="12.75">
      <c r="C114" t="s">
        <v>380</v>
      </c>
      <c r="D114" s="32">
        <f>COUNTIF(H$5:H$76,"")</f>
        <v>34</v>
      </c>
      <c r="E114" s="37">
        <f>D114/D$99</f>
        <v>0.4722222222222222</v>
      </c>
      <c r="G114"/>
      <c r="H114" s="32">
        <f>COUNTIF(H$5:H$14,"")</f>
        <v>6</v>
      </c>
      <c r="J114" s="29" t="s">
        <v>381</v>
      </c>
      <c r="K114" s="38">
        <f>MAX(G$5:G$76)</f>
        <v>84</v>
      </c>
    </row>
    <row r="115" spans="3:11" ht="12.75">
      <c r="C115" t="s">
        <v>382</v>
      </c>
      <c r="D115" s="32">
        <f>COUNTIF(H$5:H$76,"M")</f>
        <v>30</v>
      </c>
      <c r="E115" s="37">
        <f>D115/D$99</f>
        <v>0.4166666666666667</v>
      </c>
      <c r="G115"/>
      <c r="H115" s="32">
        <f>COUNTIF(H$5:H$14,"M")</f>
        <v>3</v>
      </c>
      <c r="J115" s="29" t="s">
        <v>383</v>
      </c>
      <c r="K115" s="38">
        <f>AVERAGE(G$5:G$76)</f>
        <v>62.30555555555556</v>
      </c>
    </row>
    <row r="116" spans="3:11" ht="12.75">
      <c r="C116" t="s">
        <v>384</v>
      </c>
      <c r="D116" s="32">
        <f>COUNTIF(H$5:H$76,"SM")</f>
        <v>5</v>
      </c>
      <c r="E116" s="37">
        <f>D116/D$99</f>
        <v>0.06944444444444445</v>
      </c>
      <c r="G116"/>
      <c r="H116" s="32"/>
      <c r="K116" s="29"/>
    </row>
    <row r="117" spans="3:11" ht="12.75">
      <c r="C117" t="s">
        <v>385</v>
      </c>
      <c r="D117" s="32">
        <f>COUNTIF(H$5:H$76,"L")</f>
        <v>2</v>
      </c>
      <c r="E117" s="37">
        <f>D117/D$99</f>
        <v>0.027777777777777776</v>
      </c>
      <c r="G117"/>
      <c r="H117" s="32"/>
      <c r="K117" s="29"/>
    </row>
    <row r="118" spans="5:11" ht="12.75">
      <c r="E118" s="35"/>
      <c r="G118"/>
      <c r="K118" s="29"/>
    </row>
    <row r="119" spans="2:11" ht="12.75">
      <c r="B119" s="15" t="s">
        <v>386</v>
      </c>
      <c r="D119" s="23">
        <f>SUM(D120:D129)</f>
        <v>72</v>
      </c>
      <c r="E119" s="36">
        <f>SUM(E120:E129)</f>
        <v>1</v>
      </c>
      <c r="G119"/>
      <c r="H119" s="29" t="s">
        <v>360</v>
      </c>
      <c r="K119" s="29"/>
    </row>
    <row r="120" spans="3:12" ht="12.75">
      <c r="C120" t="s">
        <v>387</v>
      </c>
      <c r="D120" s="32">
        <f>COUNTIF(M$5:M$76,"&lt;2023")-SUM(D$121:D$129)</f>
        <v>8</v>
      </c>
      <c r="E120" s="37">
        <f>D120/D$119</f>
        <v>0.1111111111111111</v>
      </c>
      <c r="G120"/>
      <c r="H120" s="32">
        <f>COUNTIF(M$5:M$14,"&lt;2023")-SUM(H$121:H$129)</f>
        <v>1</v>
      </c>
      <c r="J120" s="29" t="s">
        <v>388</v>
      </c>
      <c r="K120" s="29">
        <f>MIN(M$5:M$76)</f>
        <v>1952</v>
      </c>
      <c r="L120" s="1"/>
    </row>
    <row r="121" spans="3:12" ht="12.75">
      <c r="C121" t="s">
        <v>389</v>
      </c>
      <c r="D121" s="32">
        <f>COUNTIF(M$5:M$76,"&lt;2020")-SUM(D$122:D$129)</f>
        <v>16</v>
      </c>
      <c r="E121" s="37">
        <f>D121/D$119</f>
        <v>0.2222222222222222</v>
      </c>
      <c r="G121"/>
      <c r="H121" s="32">
        <f>COUNTIF(M$5:M$14,"&lt;2020")-SUM(H$122:H$129)</f>
        <v>4</v>
      </c>
      <c r="J121" s="29" t="s">
        <v>390</v>
      </c>
      <c r="K121" s="29">
        <f>MAX(M$5:M$76)</f>
        <v>2022</v>
      </c>
      <c r="L121" s="1"/>
    </row>
    <row r="122" spans="3:12" ht="12.75">
      <c r="C122" t="s">
        <v>391</v>
      </c>
      <c r="D122" s="32">
        <f>COUNTIF(M$5:M$76,"&lt;2015")-SUM(D$123:D$129)</f>
        <v>9</v>
      </c>
      <c r="E122" s="37">
        <f>D122/D$119</f>
        <v>0.125</v>
      </c>
      <c r="G122"/>
      <c r="H122" s="32"/>
      <c r="I122" s="4"/>
      <c r="J122" s="29" t="s">
        <v>392</v>
      </c>
      <c r="K122" s="38">
        <f>2022-(AVERAGE(M$5:M$76))</f>
        <v>16.65277777777783</v>
      </c>
      <c r="L122" s="4"/>
    </row>
    <row r="123" spans="3:12" ht="12.75">
      <c r="C123" t="s">
        <v>393</v>
      </c>
      <c r="D123" s="32">
        <f>COUNTIF(M$5:M$76,"&lt;2010")-SUM(D$124:D$129)</f>
        <v>13</v>
      </c>
      <c r="E123" s="37">
        <f>D123/D$119</f>
        <v>0.18055555555555555</v>
      </c>
      <c r="G123"/>
      <c r="H123" s="32">
        <f>COUNTIF(M$5:M$14,"&lt;2010")-SUM(H$124:H$129)</f>
        <v>2</v>
      </c>
      <c r="I123" s="4"/>
      <c r="J123" s="29" t="s">
        <v>360</v>
      </c>
      <c r="K123" s="38">
        <f>2022-(AVERAGE(M$5:M$14))</f>
        <v>11.200000000000045</v>
      </c>
      <c r="L123" s="4"/>
    </row>
    <row r="124" spans="3:8" ht="12.75">
      <c r="C124" t="s">
        <v>394</v>
      </c>
      <c r="D124" s="32">
        <f>COUNTIF(M$5:M$76,"&lt;2005")-SUM(D$125:D$129)</f>
        <v>13</v>
      </c>
      <c r="E124" s="37">
        <f>D124/D$119</f>
        <v>0.18055555555555555</v>
      </c>
      <c r="G124"/>
      <c r="H124" s="32">
        <f>COUNTIF(M$5:M$14,"&lt;2005")-SUM(H$125:H$129)</f>
        <v>3</v>
      </c>
    </row>
    <row r="125" spans="3:8" ht="12.75">
      <c r="C125" t="s">
        <v>395</v>
      </c>
      <c r="D125" s="32">
        <f>COUNTIF(M$5:M$76,"&lt;2000")-SUM(D$126:D$129)</f>
        <v>4</v>
      </c>
      <c r="E125" s="37">
        <f>D125/D$119</f>
        <v>0.05555555555555555</v>
      </c>
      <c r="G125"/>
      <c r="H125" s="32"/>
    </row>
    <row r="126" spans="3:8" ht="12.75">
      <c r="C126" t="s">
        <v>396</v>
      </c>
      <c r="D126" s="32">
        <f>COUNTIF(M$5:M$76,"&lt;1990")-SUM(D$127:D$129)</f>
        <v>4</v>
      </c>
      <c r="E126" s="37">
        <f>D126/D$119</f>
        <v>0.05555555555555555</v>
      </c>
      <c r="G126"/>
      <c r="H126" s="32"/>
    </row>
    <row r="127" spans="3:8" ht="12.75">
      <c r="C127" t="s">
        <v>397</v>
      </c>
      <c r="D127" s="32">
        <f>COUNTIF(M$5:M$76,"&lt;1980")-D$128-D$129</f>
        <v>2</v>
      </c>
      <c r="E127" s="37">
        <f>D127/D$119</f>
        <v>0.027777777777777776</v>
      </c>
      <c r="G127"/>
      <c r="H127" s="32"/>
    </row>
    <row r="128" spans="3:8" ht="12.75">
      <c r="C128" t="s">
        <v>398</v>
      </c>
      <c r="D128" s="32">
        <f>COUNTIF(M$5:M$76,"&lt;1970")-D$129</f>
        <v>1</v>
      </c>
      <c r="E128" s="37">
        <f>D128/D$119</f>
        <v>0.013888888888888888</v>
      </c>
      <c r="G128"/>
      <c r="H128" s="32"/>
    </row>
    <row r="129" spans="3:8" ht="12.75">
      <c r="C129" t="s">
        <v>399</v>
      </c>
      <c r="D129" s="32">
        <f>COUNTIF(M$5:M$76,"&lt;1960")</f>
        <v>2</v>
      </c>
      <c r="E129" s="37">
        <f>D129/D$119</f>
        <v>0.027777777777777776</v>
      </c>
      <c r="G129"/>
      <c r="H129" s="3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:G655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:G655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Corbellini</dc:creator>
  <cp:keywords/>
  <dc:description/>
  <cp:lastModifiedBy>Paolo Corbellini</cp:lastModifiedBy>
  <dcterms:created xsi:type="dcterms:W3CDTF">2022-09-06T09:52:36Z</dcterms:created>
  <dcterms:modified xsi:type="dcterms:W3CDTF">2022-09-22T11:01:35Z</dcterms:modified>
  <cp:category/>
  <cp:version/>
  <cp:contentType/>
  <cp:contentStatus/>
  <cp:revision>20</cp:revision>
</cp:coreProperties>
</file>